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36" windowWidth="22932" windowHeight="8976"/>
  </bookViews>
  <sheets>
    <sheet name="SF EST CIVIL" sheetId="15" r:id="rId1"/>
  </sheets>
  <definedNames>
    <definedName name="_xlnm.Print_Area" localSheetId="0">'SF EST CIVIL'!$A$1:$K$615</definedName>
  </definedNames>
  <calcPr calcId="124519" calcMode="autoNoTable"/>
</workbook>
</file>

<file path=xl/calcChain.xml><?xml version="1.0" encoding="utf-8"?>
<calcChain xmlns="http://schemas.openxmlformats.org/spreadsheetml/2006/main">
  <c r="H235" i="15"/>
  <c r="H193" l="1"/>
  <c r="H189"/>
  <c r="H190"/>
  <c r="H188"/>
  <c r="A195"/>
  <c r="A186"/>
  <c r="H184"/>
  <c r="H191" l="1"/>
  <c r="E191"/>
  <c r="E189"/>
  <c r="E188"/>
  <c r="H183"/>
  <c r="F183"/>
  <c r="E183"/>
  <c r="F182"/>
  <c r="E182"/>
  <c r="H182" s="1"/>
  <c r="A10" l="1"/>
  <c r="A52" s="1"/>
  <c r="E6"/>
  <c r="H6" s="1"/>
  <c r="H7" s="1"/>
  <c r="H234" l="1"/>
  <c r="D233"/>
  <c r="H233" s="1"/>
  <c r="G260"/>
  <c r="F260"/>
  <c r="G259"/>
  <c r="F259"/>
  <c r="G257"/>
  <c r="F257"/>
  <c r="H253" l="1"/>
  <c r="H254" s="1"/>
  <c r="E247"/>
  <c r="H247" s="1"/>
  <c r="H248" s="1"/>
  <c r="D240"/>
  <c r="G240" s="1"/>
  <c r="G242" s="1"/>
  <c r="H217"/>
  <c r="H210"/>
  <c r="H209"/>
  <c r="H208"/>
  <c r="G207"/>
  <c r="E207"/>
  <c r="E206"/>
  <c r="H206" s="1"/>
  <c r="E205"/>
  <c r="H205" s="1"/>
  <c r="F200"/>
  <c r="E200"/>
  <c r="F199"/>
  <c r="E199"/>
  <c r="F198"/>
  <c r="E198"/>
  <c r="F177"/>
  <c r="E177"/>
  <c r="F176"/>
  <c r="E176"/>
  <c r="F175"/>
  <c r="E175"/>
  <c r="F174"/>
  <c r="E174"/>
  <c r="F173"/>
  <c r="E173"/>
  <c r="H172"/>
  <c r="H168"/>
  <c r="H167"/>
  <c r="H166"/>
  <c r="H164"/>
  <c r="H163"/>
  <c r="H162"/>
  <c r="H161"/>
  <c r="H160"/>
  <c r="H155"/>
  <c r="E154"/>
  <c r="H154" s="1"/>
  <c r="H153"/>
  <c r="H152"/>
  <c r="H151"/>
  <c r="E149"/>
  <c r="H149" s="1"/>
  <c r="E148"/>
  <c r="H148" s="1"/>
  <c r="E147"/>
  <c r="H147" s="1"/>
  <c r="E146"/>
  <c r="H146" s="1"/>
  <c r="E145"/>
  <c r="H145" s="1"/>
  <c r="E144"/>
  <c r="H144" s="1"/>
  <c r="E143"/>
  <c r="H143" s="1"/>
  <c r="E142"/>
  <c r="H142" s="1"/>
  <c r="H141"/>
  <c r="H140"/>
  <c r="H139"/>
  <c r="H138"/>
  <c r="H137"/>
  <c r="H136"/>
  <c r="H135"/>
  <c r="H134"/>
  <c r="H133"/>
  <c r="H128"/>
  <c r="H127"/>
  <c r="H126"/>
  <c r="E119"/>
  <c r="H119" s="1"/>
  <c r="H120" s="1"/>
  <c r="E114"/>
  <c r="H114" s="1"/>
  <c r="H115" s="1"/>
  <c r="H109"/>
  <c r="H108"/>
  <c r="H105"/>
  <c r="H104"/>
  <c r="H103"/>
  <c r="H96"/>
  <c r="H95"/>
  <c r="H94"/>
  <c r="H93"/>
  <c r="H85"/>
  <c r="H84"/>
  <c r="H83"/>
  <c r="H82"/>
  <c r="H78"/>
  <c r="E76"/>
  <c r="H76" s="1"/>
  <c r="H70"/>
  <c r="E69"/>
  <c r="H69" s="1"/>
  <c r="H68"/>
  <c r="H66"/>
  <c r="H65"/>
  <c r="H64"/>
  <c r="H63"/>
  <c r="H62"/>
  <c r="H61"/>
  <c r="H60"/>
  <c r="G54"/>
  <c r="H55" s="1"/>
  <c r="H56" s="1"/>
  <c r="E54"/>
  <c r="A58"/>
  <c r="A74" s="1"/>
  <c r="A81" s="1"/>
  <c r="A90" s="1"/>
  <c r="A99" s="1"/>
  <c r="A112" s="1"/>
  <c r="A117" s="1"/>
  <c r="A122" s="1"/>
  <c r="A131" s="1"/>
  <c r="A158" s="1"/>
  <c r="A171" s="1"/>
  <c r="H49"/>
  <c r="H48"/>
  <c r="H47"/>
  <c r="H46"/>
  <c r="H42"/>
  <c r="H41"/>
  <c r="H38"/>
  <c r="H37"/>
  <c r="H36"/>
  <c r="H35"/>
  <c r="H34"/>
  <c r="H33"/>
  <c r="E29"/>
  <c r="H29" s="1"/>
  <c r="E28"/>
  <c r="H28" s="1"/>
  <c r="H24"/>
  <c r="H23"/>
  <c r="H22"/>
  <c r="H21"/>
  <c r="H20"/>
  <c r="H19"/>
  <c r="G15"/>
  <c r="H15" s="1"/>
  <c r="G14"/>
  <c r="H14" s="1"/>
  <c r="H13"/>
  <c r="A180" l="1"/>
  <c r="A203" s="1"/>
  <c r="A213" s="1"/>
  <c r="A220" s="1"/>
  <c r="A226" s="1"/>
  <c r="A232" s="1"/>
  <c r="A237" s="1"/>
  <c r="A244" s="1"/>
  <c r="A250" s="1"/>
  <c r="A256" s="1"/>
  <c r="A258" s="1"/>
  <c r="A261" s="1"/>
  <c r="A265" s="1"/>
  <c r="A269" s="1"/>
  <c r="A272" s="1"/>
  <c r="H199"/>
  <c r="H86"/>
  <c r="E88" s="1"/>
  <c r="H88" s="1"/>
  <c r="H43"/>
  <c r="H173"/>
  <c r="H175"/>
  <c r="H198"/>
  <c r="H200"/>
  <c r="H207"/>
  <c r="H211" s="1"/>
  <c r="H30"/>
  <c r="H110"/>
  <c r="H79"/>
  <c r="H174"/>
  <c r="H156"/>
  <c r="H169"/>
  <c r="H25"/>
  <c r="H39"/>
  <c r="H50"/>
  <c r="H71"/>
  <c r="H106"/>
  <c r="H129"/>
  <c r="H177"/>
  <c r="H16"/>
  <c r="H97"/>
  <c r="H176"/>
  <c r="H214" l="1"/>
  <c r="H216"/>
  <c r="H201"/>
  <c r="H222"/>
  <c r="H229"/>
  <c r="H230" s="1"/>
  <c r="H178"/>
  <c r="H223" l="1"/>
  <c r="H224" s="1"/>
  <c r="H215"/>
  <c r="H218" s="1"/>
</calcChain>
</file>

<file path=xl/sharedStrings.xml><?xml version="1.0" encoding="utf-8"?>
<sst xmlns="http://schemas.openxmlformats.org/spreadsheetml/2006/main" count="237" uniqueCount="144">
  <si>
    <t>Sl.No</t>
  </si>
  <si>
    <t>Description of the item</t>
  </si>
  <si>
    <t>Units</t>
  </si>
  <si>
    <t>NO</t>
  </si>
  <si>
    <t>Measurement (m)</t>
  </si>
  <si>
    <t>QTY</t>
  </si>
  <si>
    <t>L</t>
  </si>
  <si>
    <t>B</t>
  </si>
  <si>
    <t>D</t>
  </si>
  <si>
    <t>TOTAL</t>
  </si>
  <si>
    <t>Basic Rate</t>
  </si>
  <si>
    <t>A W 5%</t>
  </si>
  <si>
    <t>Final Rate</t>
  </si>
  <si>
    <t>Cum</t>
  </si>
  <si>
    <t>SQM</t>
  </si>
  <si>
    <t>RCC WORKS</t>
  </si>
  <si>
    <t>Columns</t>
  </si>
  <si>
    <t>Total C</t>
  </si>
  <si>
    <t>KG</t>
  </si>
  <si>
    <t>T</t>
  </si>
  <si>
    <r>
      <t>Providing  and  laying  in  position  Reinforced  cement  concrete   for  all Foundation works. Thegranite/trap/basalt   crushed  graded  coarse aggregates   and fine aggregates   as per relevant IS Codes machine mixed with super plasticizers   laid in finished layers, well compacted using needle vibrators,  including all lead &amp; lifts,  cost of all materials, quality confirming to the requirements of   relevant IS codes , labour, Usage charges of machinery,  curing and all the other  appurtenances required to complete the work as per technical specifications. (The cost of steel reinforcement &amp; formwork to be paid separately) M25    Design Mix Using 20 mm nominal size graded crushed coarse aggregates</t>
    </r>
    <r>
      <rPr>
        <b/>
        <sz val="48"/>
        <rFont val="Cambria"/>
        <family val="1"/>
        <scheme val="major"/>
      </rPr>
      <t>Volume-1 ITEM NO:2.2.1 Page no-15</t>
    </r>
  </si>
  <si>
    <r>
      <t>Steel Fabrication 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specification.a. Buildings</t>
    </r>
    <r>
      <rPr>
        <b/>
        <sz val="48"/>
        <rFont val="Cambria"/>
        <family val="1"/>
        <scheme val="major"/>
      </rPr>
      <t xml:space="preserve"> Volume-1 ITEM NO:2.2.1 Page no-18</t>
    </r>
  </si>
  <si>
    <t>RB1</t>
  </si>
  <si>
    <t>RB2</t>
  </si>
  <si>
    <t>Total D</t>
  </si>
  <si>
    <t>Roof  Slab</t>
  </si>
  <si>
    <t>Total E</t>
  </si>
  <si>
    <t xml:space="preserve"> Staircase </t>
  </si>
  <si>
    <t>Waist slab</t>
  </si>
  <si>
    <t>Landing</t>
  </si>
  <si>
    <t>StaircaseSteps(0.5*0.3*0.15=0.023)</t>
  </si>
  <si>
    <t>Total F</t>
  </si>
  <si>
    <t>ROOF BEAM</t>
  </si>
  <si>
    <t>Deduct Stair</t>
  </si>
  <si>
    <t>CHEJJA</t>
  </si>
  <si>
    <t>W1</t>
  </si>
  <si>
    <t>GW</t>
  </si>
  <si>
    <t>Lintel</t>
  </si>
  <si>
    <t>W</t>
  </si>
  <si>
    <t>Wall</t>
  </si>
  <si>
    <t>Door</t>
  </si>
  <si>
    <t xml:space="preserve">                      MS Grills For Windows</t>
  </si>
  <si>
    <t>Sub Total</t>
  </si>
  <si>
    <t>Area</t>
  </si>
  <si>
    <t>Total weight of MS Grills</t>
  </si>
  <si>
    <t>Kgs</t>
  </si>
  <si>
    <t>UPVC Windows</t>
  </si>
  <si>
    <t>Sqm</t>
  </si>
  <si>
    <t xml:space="preserve">PVC Doors </t>
  </si>
  <si>
    <t>DOORS</t>
  </si>
  <si>
    <t>SQm</t>
  </si>
  <si>
    <t>HALL</t>
  </si>
  <si>
    <t>Deduction</t>
  </si>
  <si>
    <t>Internal Plastering</t>
  </si>
  <si>
    <t>External plastering</t>
  </si>
  <si>
    <t xml:space="preserve"> Back side</t>
  </si>
  <si>
    <t>Sides</t>
  </si>
  <si>
    <t>Celing Plastering</t>
  </si>
  <si>
    <t>internal Plastering QTY</t>
  </si>
  <si>
    <t>Ceiling QTY</t>
  </si>
  <si>
    <t>Deduction wall cladding</t>
  </si>
  <si>
    <t>Qty carried from external plastering qty</t>
  </si>
  <si>
    <r>
      <t>Providing Brick  work  with  common  burnt  clay Non  Modular bricks of   class designation 3.5 in foundation and plinth in   Cement mortar 1:4 (1 cement : 4 coarse sand) including cost of all materials, labour, scaffolding and usage charges of machinery &amp; other incidental charges complete as per the direction of engineer incharge of work.</t>
    </r>
    <r>
      <rPr>
        <b/>
        <sz val="48"/>
        <rFont val="Cambria"/>
        <family val="1"/>
        <scheme val="major"/>
      </rPr>
      <t>Volume-2 ITEM NO:6.2Page no-13</t>
    </r>
  </si>
  <si>
    <r>
      <t xml:space="preserve">Providing and fixing Steel work welded in built up sections/ framed work, including cutting, hoisting, fixing in position and applying a priming coat of approved steel primer using structural steel etc. as required. In gratings, frames, guard bar, ladder, railings, brackets, gates and similar works i    </t>
    </r>
    <r>
      <rPr>
        <b/>
        <sz val="48"/>
        <rFont val="Cambria"/>
        <family val="1"/>
        <scheme val="major"/>
      </rPr>
      <t>ITEM CODE-11.25.2 Page no-84 Vol-2</t>
    </r>
  </si>
  <si>
    <r>
      <t>Weight 
per m</t>
    </r>
    <r>
      <rPr>
        <vertAlign val="superscript"/>
        <sz val="48"/>
        <rFont val="Cambria"/>
        <family val="1"/>
      </rPr>
      <t>2</t>
    </r>
  </si>
  <si>
    <r>
      <t>Providing &amp; fixing of 3-track x 2-panel sliding windows made out of multi chambered UPVC(Matching to RAL-9016) sections and with minimum TiO2(Titanium Dioxide) at 6PHR with TPE(Thermo Plastic Elastomer) and lead free, gaskets -grey colour having isolated drainage and reinforced with Galvanized Iron profile through-out the window frame. The outer frame having an overall size of 108mm width x 45mmheight with reinforcement of 1mm thickness and Sash with overall size of 39mm x 75mm with GI reinforcement of 2mm and mesh sash of size 37mm x 58mm. Coextruded Glazing bead for fixing of glass shall be of size 20mm x 24 mm. Windows shall be provided with 6mm plain float glass, standard hardware&amp; Multi point locking system with touch lock. Wall thickness of frame &amp; sash shall be of 2mm-2.5mm. Maximum possible size – 2419mm x 2200mm. (T</t>
    </r>
    <r>
      <rPr>
        <b/>
        <sz val="48"/>
        <color theme="1"/>
        <rFont val="Cambria"/>
        <family val="1"/>
        <scheme val="major"/>
      </rPr>
      <t>item Code-12.90 page.no-110 Vol-2</t>
    </r>
  </si>
  <si>
    <r>
      <t xml:space="preserve"> Providing and fixing factory made Green certified, Anti Termite, UV resistant, high water absorbant single extruded WPC (Wood PolymerComposite) solid plain flush door shutter of required size comprising of virgin polymer of K value 58-60 (Suspension Grade), calcium carbonate and natural fibers (wood powder/rice husk/wheat husk) and non toxic additives (maximumtoxicity index of 12 for 100 g) having minimum density of 650 kg/m3 and screw withdrawal strength of 1800 N (Face) &amp; 900 N (Edge), minimum compressive strength of 50 N/mm2 , modulus of elasticity 850 N/mm2 and resistance to spread of flame of Class A category with property of being termite/borer proof, water/moisture proof and fire retardant and fixing with stainless steel butt hinges of required size with necessary full body threaded star headed counter sunk S.S screws  The cost includes cost of materials, transportation, labour and fixing charges.(Cost of Fixtures to be paid separately, 35 mm thickness </t>
    </r>
    <r>
      <rPr>
        <b/>
        <sz val="48"/>
        <color theme="1"/>
        <rFont val="Cambria"/>
        <family val="1"/>
        <scheme val="major"/>
      </rPr>
      <t>ITEM CODE-12.94.2 VOL-2 Page no-101</t>
    </r>
  </si>
  <si>
    <r>
      <t>Providing and laying Polished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 Polished Granite stone slab Black, Cat Eye, River Pink or equivalent.</t>
    </r>
    <r>
      <rPr>
        <b/>
        <sz val="48"/>
        <rFont val="Cambria"/>
        <family val="1"/>
        <scheme val="major"/>
      </rPr>
      <t>ITEM CODE-9.23 VOL-2 Page no-63</t>
    </r>
  </si>
  <si>
    <r>
      <t>Providing    15 mm cement plaster on the rough side of single or half brick  wall  of  mix  1:4  (1  cement:  4  fine  sand)  including  rounding  off corners wherever required smooth rendering, providing and removing scaffolding, including cost of materials, labour, curing complete as per specifications and as per directions of Engineer-in-charge.</t>
    </r>
    <r>
      <rPr>
        <b/>
        <sz val="48"/>
        <rFont val="Cambria"/>
        <family val="1"/>
        <scheme val="major"/>
      </rPr>
      <t>ITEM- 8.2.1,VOLUME -2 P.NO-41</t>
    </r>
  </si>
  <si>
    <r>
      <t>Providing 20 mm cement plaster of mix :1:6 (1 cement: 6 fine sand) to brick/stone masonry including rounding off corners wherever required smooth rendering, providing and removing scaffolding, including cost ofmaterials, labour, curing complete as per specifications and as per direc tions of Engineer-in-charge.</t>
    </r>
    <r>
      <rPr>
        <b/>
        <sz val="48"/>
        <rFont val="Cambria"/>
        <family val="1"/>
        <scheme val="major"/>
      </rPr>
      <t>Page NO 41 Code:8.3.2Volume-2</t>
    </r>
    <r>
      <rPr>
        <sz val="48"/>
        <rFont val="Cambria"/>
        <family val="1"/>
        <scheme val="major"/>
      </rPr>
      <t xml:space="preserve">
</t>
    </r>
  </si>
  <si>
    <r>
      <t>Providing 6 mm cement plaster with cement mortar 1:3 (1 cement : 3 fine sand) on concrete surface / ceilings including rounding off corners wherever required smooth rendering, providi</t>
    </r>
    <r>
      <rPr>
        <b/>
        <sz val="48"/>
        <rFont val="Cambria"/>
        <family val="1"/>
        <scheme val="major"/>
      </rPr>
      <t xml:space="preserve"> Volume-2 Item 8.10 Page no: 43</t>
    </r>
  </si>
  <si>
    <r>
      <t>Providing and applying white cement based putty of average thickness 1 mm, of approved brand and manufacturer, over the plas</t>
    </r>
    <r>
      <rPr>
        <b/>
        <sz val="48"/>
        <rFont val="Cambria"/>
        <family val="1"/>
        <scheme val="major"/>
      </rPr>
      <t>Item Code8.51vol-2 pageno-50</t>
    </r>
  </si>
  <si>
    <r>
      <t>Finishing with Deluxe Multi surface paint system for interiors and exteriors using Primer as per manufacturers specifications: Two coats applied on walls @ 1.25 L/10 m² over and including one coat of Special primer applied @ 0.75 L/10 m² with paint of approved quality to give an even shade, after thoroughly brooming the surface to remove all dirt, dust, mortar drops and foreign matter including preparing the surface even and sand paper smooth, cost of materials, labour complete as per specifications and as per directions of Engineer-in</t>
    </r>
    <r>
      <rPr>
        <b/>
        <sz val="48"/>
        <rFont val="Cambria"/>
        <family val="1"/>
        <scheme val="major"/>
      </rPr>
      <t>page no:46 Item Code 8.33.1 Volume -2</t>
    </r>
  </si>
  <si>
    <r>
      <t xml:space="preserve">Finishing walls with 100% Premium acrylic emulsion paint having VOC less than 50 g/L and UV resistance as per IS 15489:2004, Alkali &amp; fungal resistance, dirt resistance exterior paint of required shade (Company Depot Tinted) with silicon additives, New work (Two coats applied @ 1.43 L/ 10 m². Over and including priming coat of exterior primer applied @ 0.90 L/10 m² with paint of approved quality to give an even shade, after thoroughly brooming the surface to remove all dirt, dust, mortar drops and foreign matter including preparing the surface even and sand paper smooth, cost of materials, labour </t>
    </r>
    <r>
      <rPr>
        <b/>
        <sz val="48"/>
        <color indexed="8"/>
        <rFont val="Cambria"/>
        <family val="1"/>
        <scheme val="major"/>
      </rPr>
      <t>page no:46 Item Code 8.32 Volume -2</t>
    </r>
  </si>
  <si>
    <t>BBM WALL</t>
  </si>
  <si>
    <t>WALL</t>
  </si>
  <si>
    <t>Stair case wall</t>
  </si>
  <si>
    <t>Windows</t>
  </si>
  <si>
    <t>STAIR CASE</t>
  </si>
  <si>
    <t>LANDING</t>
  </si>
  <si>
    <t>STEPS</t>
  </si>
  <si>
    <t>LIFT</t>
  </si>
  <si>
    <t>Sft</t>
  </si>
  <si>
    <t>Total built up area</t>
  </si>
  <si>
    <t>Shear wall</t>
  </si>
  <si>
    <t>Partation wall</t>
  </si>
  <si>
    <t>Deduct Doors</t>
  </si>
  <si>
    <t>D2</t>
  </si>
  <si>
    <t>STORE</t>
  </si>
  <si>
    <r>
      <t>Providing  Half  brick  masonry  with  common  burnt  clay  Non  Modular bricks of class designation 3.5 in foundations and plinth in   Cement mortar 1:3 (1 cement : 3 coarse sand)  including cost of all materials, labour, scaffolding and usage charges of machinery &amp; other incidental charges complete as per the direction of engineer incharge of work.</t>
    </r>
    <r>
      <rPr>
        <b/>
        <sz val="48"/>
        <color indexed="8"/>
        <rFont val="Cambria"/>
        <family val="1"/>
      </rPr>
      <t>Volume-2 ITEM NO:6.12Page no-13</t>
    </r>
  </si>
  <si>
    <t>Ventilator</t>
  </si>
  <si>
    <t>V</t>
  </si>
  <si>
    <t>Store</t>
  </si>
  <si>
    <t>TOILET</t>
  </si>
  <si>
    <t>DRESSING</t>
  </si>
  <si>
    <t xml:space="preserve">TOILET BLOCK </t>
  </si>
  <si>
    <t>CERAMIC GLAZED TILES</t>
  </si>
  <si>
    <t>Wall Tiles</t>
  </si>
  <si>
    <t>D1</t>
  </si>
  <si>
    <t>5Kg per Sft</t>
  </si>
  <si>
    <t>ACP Sheets</t>
  </si>
  <si>
    <t>2% LABOUR CHARGE FOR SF</t>
  </si>
  <si>
    <t xml:space="preserve">Deduction </t>
  </si>
  <si>
    <t>Door Frames</t>
  </si>
  <si>
    <r>
      <t xml:space="preserve">Providing Honne wood frames of doors, windows, clerestory windows, ventilators and other frames, wrought, framed or assembled including making plaster groves (excluding cost of cement concrete and side clamps), but including cost of materials, labour, usage charges complete as per specifications. </t>
    </r>
    <r>
      <rPr>
        <b/>
        <sz val="48"/>
        <rFont val="Cambria"/>
        <family val="1"/>
        <scheme val="major"/>
      </rPr>
      <t>ITEM CODE-12.11 VOL-2 Page no-101</t>
    </r>
  </si>
  <si>
    <t>Door Shutter</t>
  </si>
  <si>
    <r>
      <t>Providing and fixing in position fully panelled Honne wood shutters for doors with stiles and rails of 40mm. thick with bottom and lock rails 180mm wide top rail and stiles 100mm wide as per drawing and panels of 25mm thick including cost of materials, labour, usage charges complete as per specifications. ( excluding cost of fixtures )</t>
    </r>
    <r>
      <rPr>
        <b/>
        <sz val="48"/>
        <rFont val="Cambria"/>
        <family val="1"/>
        <scheme val="major"/>
      </rPr>
      <t>ITEM CODE-12.11 VOL-2 Page no-104</t>
    </r>
  </si>
  <si>
    <t>glass</t>
  </si>
  <si>
    <t>A</t>
  </si>
  <si>
    <t>C</t>
  </si>
  <si>
    <t>E</t>
  </si>
  <si>
    <t>F</t>
  </si>
  <si>
    <r>
      <t>Providing  and  fixing  glazing  in  aluminium  door,  window,  ventilator shutters  and  partitions  etc.  with  EPDM  rubber  /  neoprene  gasket etc. complete as per the architectural drawings and the directions of engineer-in-charge . (Cost of aluminium snap beading shall be paid in basic item):With float glass panes of 8 mm thickness (weight not less than 20 kg/ m²)  including cost of materials, labour, usage charges of machinery complete as per specifications.</t>
    </r>
    <r>
      <rPr>
        <b/>
        <sz val="48"/>
        <rFont val="Cambria"/>
        <family val="1"/>
        <scheme val="major"/>
      </rPr>
      <t>Item No.11.37.3 PWD DSR Vol-2  2023-24page no:89</t>
    </r>
  </si>
  <si>
    <t>no</t>
  </si>
  <si>
    <t>ALL DROP 300 mm</t>
  </si>
  <si>
    <t>HANDEL 200mm</t>
  </si>
  <si>
    <t>Tower Bolt 250x10mm</t>
  </si>
  <si>
    <t>Tower Bolt 150x10mm</t>
  </si>
  <si>
    <t>ALL DROP 200 mm</t>
  </si>
  <si>
    <t>Door Stoper 75 mm</t>
  </si>
  <si>
    <t>Hinges 100mm</t>
  </si>
  <si>
    <t>Hinges 125mm</t>
  </si>
  <si>
    <t>Door Lock</t>
  </si>
  <si>
    <t>Door Frame</t>
  </si>
  <si>
    <r>
      <t xml:space="preserve"> Demolishing R.C.C. work manually/ by mechanical means including stacking of steel bars and disposal of unserviceable material to the appropriate disposal area as per direction of Engineer-in-charge.</t>
    </r>
    <r>
      <rPr>
        <b/>
        <sz val="48"/>
        <rFont val="Cambria"/>
        <family val="1"/>
        <scheme val="major"/>
      </rPr>
      <t>Volume-2ITEM NO:19.3 Page no-187</t>
    </r>
  </si>
  <si>
    <t xml:space="preserve"> RCC SLAB</t>
  </si>
  <si>
    <t>Skerting</t>
  </si>
  <si>
    <t>VETRIFIED TILES(600*600)</t>
  </si>
  <si>
    <r>
      <t xml:space="preserve"> Providing  and  laying  vitrified  floor  tiles  with thickness 9-10 mm in  
different  sizes  with  water  absorption  less  than  0.08%  and conforming to IS: 15622, of approved make, in all colours and shades, laid on 20mm thick cement mortar 1:4 (1 cement : 4 coarse sand), jointing with grey cement slurry @ 3.3 kg/ m2  including grouting the joints with white cement and matching pigments etc., complete</t>
    </r>
    <r>
      <rPr>
        <b/>
        <sz val="48"/>
        <rFont val="Cambria"/>
        <family val="1"/>
        <scheme val="major"/>
      </rPr>
      <t>Volume-2 Item 9.12.2 Page no: 60</t>
    </r>
  </si>
  <si>
    <t>SECOND  FLOOR ESTIMATION</t>
  </si>
  <si>
    <t>BASIC RATE</t>
  </si>
  <si>
    <t>AREA WEIGHTAGE</t>
  </si>
  <si>
    <t>TOTAL AMOUNT</t>
  </si>
  <si>
    <r>
      <t>Providing and fixing stainless steel Fixtures conforming to 304 graded steel   as per direction of engineer in charge.</t>
    </r>
    <r>
      <rPr>
        <b/>
        <sz val="48"/>
        <rFont val="Cambria"/>
        <family val="1"/>
        <scheme val="major"/>
      </rPr>
      <t>Item No.22.15. 1PWD DSR Vol-2  2023-24page no:218</t>
    </r>
  </si>
  <si>
    <r>
      <t xml:space="preserve">Designing, fabricating, testing, protection, installing and fixing in position semi (grid) unitized system of structural glazing (with open joints) for linear as well as curvilinear portions of the building for all heights and all levels, including:(a) Structural analysis &amp; design and preparation of shop drawings for the specified design loads conforming to IS 875 part III (the system must passed the proof test at 1.5 times design wind pressure without any failure), including functional design of the aluminum sections for fixing glazing panels of various thicknesses, aluminium cleats, sleeves and splice plates etc. gaskets, screws, toggles, nuts, bolts, clamps etc.structural and weather silicone sealants, flashings, fire stop (barrier)-cumsmoke seals, microwave cured EPDM gaskets for water tightness, pressure equalisation &amp; drainage and protection against fire hazard complete specification. </t>
    </r>
    <r>
      <rPr>
        <b/>
        <sz val="48"/>
        <rFont val="Cambria"/>
        <family val="1"/>
        <scheme val="major"/>
      </rPr>
      <t>Item No.18.2 PWD DSR Vol-2  2023-24</t>
    </r>
  </si>
  <si>
    <r>
      <t>Providing and fixing stainless steel Fixtures conforming to 304 graded steel   as per direction of engineer in charge</t>
    </r>
    <r>
      <rPr>
        <b/>
        <sz val="48"/>
        <rFont val="Cambria"/>
        <family val="1"/>
        <scheme val="major"/>
      </rPr>
      <t>Sl No.128 PWD DSR Vol-2  2023-24page no:A-20</t>
    </r>
  </si>
  <si>
    <r>
      <t>Providing and fixing stainless steel Fixtures conforming to 304 graded steel   as per direction of engineer in charge.</t>
    </r>
    <r>
      <rPr>
        <b/>
        <sz val="48"/>
        <rFont val="Cambria"/>
        <family val="1"/>
        <scheme val="major"/>
      </rPr>
      <t>Item No.22.15. 5 PWD DSR Vol-2  2023-24page no:218</t>
    </r>
  </si>
  <si>
    <r>
      <t>Providing and fixing stainless steel Fixtures conforming to 304 graded steel   as per direction of engineer in charge.</t>
    </r>
    <r>
      <rPr>
        <b/>
        <sz val="48"/>
        <rFont val="Cambria"/>
        <family val="1"/>
        <scheme val="major"/>
      </rPr>
      <t>Item No.22.15. 4 PWD DSR Vol-2  2023-24page no:218</t>
    </r>
  </si>
  <si>
    <r>
      <t xml:space="preserve">Providing and laying Ceramic glazed floor tiles of size 300x300 mm (thickness to be specified by the manufacturer), of 1st quality conforming to IS : 15622, of approved make, in all colours, shades, except White, Ivory, Grey, Fume Red Brown, laid on 20 mm thick bed of cement mortar 1:4 (1 Cement : 4 Coarse sand), jointing with grey cement slurry @ 3.3 kg/ m2 including pointing the joints with white cement and matching pigments etc., </t>
    </r>
    <r>
      <rPr>
        <b/>
        <sz val="48"/>
        <rFont val="Cambria"/>
        <family val="1"/>
        <scheme val="major"/>
      </rPr>
      <t>Item Code-9.10.5vol-2 pageno-60</t>
    </r>
  </si>
  <si>
    <r>
      <t>Providing and fixing stainless steel Fixtures conforming to 304 graded steel   as per direction of engineer in charge.</t>
    </r>
    <r>
      <rPr>
        <b/>
        <sz val="48"/>
        <rFont val="Cambria"/>
        <family val="1"/>
        <scheme val="major"/>
      </rPr>
      <t>Item No.22.15. 10 PWD DSR Vol-2  2023-24page no:218</t>
    </r>
  </si>
  <si>
    <r>
      <t xml:space="preserve">Providing and fixing of Aluminium composite panel of approved make and colour for wall cladding for Brick/Rcc/stone walls &amp; coloumns/beams with necessary aluminium frame works at required level made out of 50x25x4mm C section or equivalent. The panel should consist of 3mm thick non-halogenated FR grade mineral based polymer ( 2 hrs fire resistanceas per ASTM E119-12 and clause B, S1, do as per ENT 13501-1sandwiched between 0.50 skins thick aluminium sheet making a total panel thickness of 4mm. The surfaces will be finished with PVDF based coating on topsides and service coating on reverse sides would be in polyesterpaint. The system shall be fixed using GI brackets, aluminium L cleats and stainless steel bolts and nuts complete with spring washer and cap nuts and all other necessary accessories, sealing shall be done with necessary rods etc., complete </t>
    </r>
    <r>
      <rPr>
        <b/>
        <sz val="48"/>
        <rFont val="Cambria"/>
        <family val="1"/>
        <scheme val="major"/>
      </rPr>
      <t xml:space="preserve"> Item No.10.15.1 PWD DSR Vol-2  2023-24</t>
    </r>
  </si>
  <si>
    <r>
      <t>Painting  wood  work  with  Deluxe  Multi  Surface  Paint  of  required shade. Two coat applied @ 0.90L/10 m² over an under coat of primer applied @0.75 L/10 m² of approved brand and manufacture to give an even shadeincluding preparing the surface after thorougly cleaning oil, grease, dirt and foreign matter, sand papering and knotting , cost of materials, labour complete as per specifications and as per directions of Engineer-in-charge..I</t>
    </r>
    <r>
      <rPr>
        <b/>
        <sz val="48"/>
        <rFont val="Cambria"/>
        <family val="1"/>
        <scheme val="major"/>
      </rPr>
      <t>tem No.8.3.3.2 PWD DSR Vol-2  2023-24 PAGE NO:46</t>
    </r>
  </si>
  <si>
    <r>
      <t>Providing and fixing 1st quality ceramic glazed wall tiles conforming to IS: 15622 (thickness to be specified by the manufacturer), of approved make, in all colours, shades except burgundy, bottle green, black of any size as approved by Engineer- in-Charge, in skirting, risers of steps and dados, over 12 mm thick bed of cement mortar 1:3 (1 cement : 3 coarse sand) and jointing with grey cement slurry @ 3.3kg/m2, including pointing in white cement mixed with pigment of matching shade complete..</t>
    </r>
    <r>
      <rPr>
        <b/>
        <sz val="48"/>
        <rFont val="Cambria"/>
        <family val="1"/>
        <scheme val="major"/>
      </rPr>
      <t>Item Code-9.10 vol-2 pageno-60</t>
    </r>
  </si>
  <si>
    <r>
      <t>Providing skirting, dadooing, rises of steps with white glazed tiles 6mm thick on 10mm thick cement plaster 1:3 and jointed with white cement slurry over existing rough plaster surface using glazed tiles of approved make and size including cost of materials, labour, complete as per specifications.</t>
    </r>
    <r>
      <rPr>
        <b/>
        <sz val="48"/>
        <color theme="1"/>
        <rFont val="Cambria"/>
        <family val="1"/>
        <scheme val="major"/>
      </rPr>
      <t>Item Code8.51 vol-2 pageno-50</t>
    </r>
  </si>
</sst>
</file>

<file path=xl/styles.xml><?xml version="1.0" encoding="utf-8"?>
<styleSheet xmlns="http://schemas.openxmlformats.org/spreadsheetml/2006/main">
  <numFmts count="3">
    <numFmt numFmtId="43" formatCode="_ * #,##0.00_ ;_ * \-#,##0.00_ ;_ * &quot;-&quot;??_ ;_ @_ "/>
    <numFmt numFmtId="164" formatCode="_(* #,##0.00_);_(* \(#,##0.00\);_(* &quot;-&quot;??_);_(@_)"/>
    <numFmt numFmtId="167" formatCode="0.0"/>
  </numFmts>
  <fonts count="25">
    <font>
      <sz val="11"/>
      <color theme="1"/>
      <name val="Calibri"/>
      <family val="2"/>
      <scheme val="minor"/>
    </font>
    <font>
      <sz val="11"/>
      <color theme="1"/>
      <name val="Calibri"/>
      <family val="2"/>
      <scheme val="minor"/>
    </font>
    <font>
      <sz val="48"/>
      <color theme="1"/>
      <name val="Calibri"/>
      <family val="2"/>
      <scheme val="minor"/>
    </font>
    <font>
      <b/>
      <sz val="48"/>
      <name val="Cambria"/>
      <family val="1"/>
      <scheme val="major"/>
    </font>
    <font>
      <sz val="12"/>
      <color theme="1"/>
      <name val="Cambria"/>
      <family val="1"/>
      <scheme val="major"/>
    </font>
    <font>
      <sz val="11"/>
      <color indexed="8"/>
      <name val="Calibri"/>
      <family val="2"/>
    </font>
    <font>
      <b/>
      <sz val="48"/>
      <name val="Cambria"/>
      <family val="1"/>
    </font>
    <font>
      <sz val="48"/>
      <name val="Cambria"/>
      <family val="1"/>
      <scheme val="major"/>
    </font>
    <font>
      <b/>
      <sz val="48"/>
      <color theme="1"/>
      <name val="Cambria"/>
      <family val="1"/>
      <scheme val="major"/>
    </font>
    <font>
      <b/>
      <sz val="48"/>
      <color theme="1"/>
      <name val="Calibri"/>
      <family val="2"/>
      <scheme val="minor"/>
    </font>
    <font>
      <sz val="48"/>
      <color theme="1"/>
      <name val="Cambria"/>
      <family val="1"/>
      <scheme val="major"/>
    </font>
    <font>
      <b/>
      <sz val="48"/>
      <color indexed="8"/>
      <name val="Cambria"/>
      <family val="1"/>
      <scheme val="major"/>
    </font>
    <font>
      <b/>
      <sz val="72"/>
      <name val="Cambria"/>
      <family val="1"/>
      <scheme val="major"/>
    </font>
    <font>
      <sz val="36"/>
      <color theme="1"/>
      <name val="Cambria"/>
      <family val="1"/>
      <scheme val="major"/>
    </font>
    <font>
      <vertAlign val="superscript"/>
      <sz val="48"/>
      <name val="Cambria"/>
      <family val="1"/>
    </font>
    <font>
      <sz val="48"/>
      <color indexed="8"/>
      <name val="Cambria"/>
      <family val="1"/>
      <scheme val="major"/>
    </font>
    <font>
      <sz val="48"/>
      <color indexed="8"/>
      <name val="Cambria"/>
      <family val="1"/>
    </font>
    <font>
      <b/>
      <sz val="48"/>
      <color indexed="8"/>
      <name val="Cambria"/>
      <family val="1"/>
    </font>
    <font>
      <sz val="40"/>
      <name val="Cambria"/>
      <family val="1"/>
      <scheme val="major"/>
    </font>
    <font>
      <b/>
      <sz val="40"/>
      <name val="Cambria"/>
      <family val="1"/>
      <scheme val="major"/>
    </font>
    <font>
      <sz val="48"/>
      <name val="Univers Condensed"/>
      <family val="2"/>
    </font>
    <font>
      <sz val="48"/>
      <name val="Arial"/>
      <family val="2"/>
    </font>
    <font>
      <b/>
      <sz val="48"/>
      <name val="Univers Condensed"/>
      <family val="2"/>
    </font>
    <font>
      <b/>
      <sz val="48"/>
      <name val="Arial"/>
      <family val="2"/>
    </font>
    <font>
      <b/>
      <sz val="48"/>
      <name val="Tahoma"/>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177">
    <xf numFmtId="0" fontId="0" fillId="0" borderId="0" xfId="0"/>
    <xf numFmtId="0" fontId="4" fillId="0" borderId="0" xfId="0" applyFont="1" applyBorder="1"/>
    <xf numFmtId="4" fontId="21" fillId="0" borderId="0" xfId="0" applyNumberFormat="1" applyFont="1" applyBorder="1"/>
    <xf numFmtId="4" fontId="22" fillId="0" borderId="0" xfId="0" applyNumberFormat="1" applyFont="1" applyBorder="1" applyAlignment="1">
      <alignment wrapText="1"/>
    </xf>
    <xf numFmtId="164" fontId="8" fillId="0" borderId="0" xfId="0" applyNumberFormat="1" applyFont="1" applyBorder="1" applyAlignment="1">
      <alignment vertical="center"/>
    </xf>
    <xf numFmtId="0" fontId="0" fillId="0" borderId="0" xfId="0" applyBorder="1"/>
    <xf numFmtId="0" fontId="2" fillId="0" borderId="0" xfId="0" applyFont="1" applyBorder="1"/>
    <xf numFmtId="0" fontId="3" fillId="0" borderId="0" xfId="1" applyFont="1" applyFill="1" applyBorder="1" applyAlignment="1">
      <alignment horizontal="center" vertical="center" wrapText="1"/>
    </xf>
    <xf numFmtId="0" fontId="3" fillId="0" borderId="0" xfId="1" applyFont="1" applyFill="1" applyBorder="1" applyAlignment="1" applyProtection="1">
      <alignment horizontal="center" vertical="center"/>
    </xf>
    <xf numFmtId="164" fontId="3" fillId="0" borderId="0" xfId="1" applyNumberFormat="1" applyFont="1" applyFill="1" applyBorder="1" applyAlignment="1" applyProtection="1">
      <alignment horizontal="center" vertical="center"/>
    </xf>
    <xf numFmtId="164" fontId="3" fillId="0" borderId="0" xfId="1" applyNumberFormat="1" applyFont="1" applyFill="1" applyBorder="1" applyAlignment="1" applyProtection="1">
      <alignment horizontal="center" vertical="center" wrapText="1"/>
    </xf>
    <xf numFmtId="164" fontId="3" fillId="0" borderId="0" xfId="1" applyNumberFormat="1" applyFont="1" applyFill="1" applyBorder="1" applyAlignment="1" applyProtection="1">
      <alignment horizontal="center"/>
    </xf>
    <xf numFmtId="0" fontId="3" fillId="0" borderId="0" xfId="1" applyFont="1" applyFill="1" applyBorder="1" applyAlignment="1">
      <alignment vertical="center" wrapText="1"/>
    </xf>
    <xf numFmtId="2" fontId="3" fillId="0" borderId="0" xfId="1" applyNumberFormat="1" applyFont="1" applyFill="1" applyBorder="1" applyAlignment="1">
      <alignment vertical="center" wrapText="1"/>
    </xf>
    <xf numFmtId="0" fontId="3" fillId="0" borderId="0" xfId="1" applyFont="1" applyFill="1" applyBorder="1" applyAlignment="1" applyProtection="1">
      <alignment horizontal="center" vertical="top"/>
    </xf>
    <xf numFmtId="0" fontId="3" fillId="0" borderId="0" xfId="1" applyFont="1" applyFill="1" applyBorder="1" applyAlignment="1" applyProtection="1">
      <alignment vertical="top"/>
    </xf>
    <xf numFmtId="164" fontId="3" fillId="0" borderId="0" xfId="1" applyNumberFormat="1" applyFont="1" applyFill="1" applyBorder="1" applyAlignment="1">
      <alignment horizontal="center" vertical="center" wrapText="1"/>
    </xf>
    <xf numFmtId="0" fontId="0" fillId="0" borderId="0" xfId="0" applyNumberFormat="1" applyBorder="1"/>
    <xf numFmtId="0" fontId="3" fillId="0" borderId="0"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0" xfId="1" applyFont="1" applyFill="1" applyBorder="1" applyAlignment="1">
      <alignment horizontal="center" vertical="center" wrapText="1"/>
    </xf>
    <xf numFmtId="0" fontId="2" fillId="0" borderId="0" xfId="1" applyFont="1" applyFill="1" applyBorder="1" applyAlignment="1">
      <alignment horizontal="justify" vertical="top" wrapText="1"/>
    </xf>
    <xf numFmtId="164" fontId="7" fillId="0" borderId="0" xfId="1" applyNumberFormat="1" applyFont="1" applyFill="1" applyBorder="1" applyAlignment="1">
      <alignment horizontal="center" vertical="justify" wrapText="1"/>
    </xf>
    <xf numFmtId="0" fontId="3"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wrapText="1"/>
    </xf>
    <xf numFmtId="164" fontId="7" fillId="0" borderId="0" xfId="1" applyNumberFormat="1" applyFont="1" applyFill="1" applyBorder="1" applyAlignment="1">
      <alignment horizontal="center" vertical="center" wrapText="1"/>
    </xf>
    <xf numFmtId="0" fontId="7" fillId="0" borderId="0" xfId="1" applyFont="1" applyFill="1" applyBorder="1" applyAlignment="1" applyProtection="1">
      <alignment horizontal="center" vertical="top" wrapText="1"/>
    </xf>
    <xf numFmtId="1" fontId="7" fillId="0" borderId="0" xfId="1" applyNumberFormat="1" applyFont="1" applyFill="1" applyBorder="1" applyAlignment="1" applyProtection="1">
      <alignment horizontal="center" vertical="center"/>
    </xf>
    <xf numFmtId="164" fontId="7" fillId="0" borderId="0" xfId="1" applyNumberFormat="1" applyFont="1" applyFill="1" applyBorder="1" applyAlignment="1" applyProtection="1">
      <alignment horizontal="center" vertical="center"/>
    </xf>
    <xf numFmtId="0" fontId="10" fillId="0" borderId="0" xfId="1" applyFont="1" applyFill="1" applyBorder="1" applyAlignment="1">
      <alignment horizontal="center" vertical="top" wrapText="1"/>
    </xf>
    <xf numFmtId="0" fontId="8" fillId="0" borderId="0" xfId="1" applyFont="1" applyFill="1" applyBorder="1" applyAlignment="1">
      <alignment horizontal="center" vertical="top" wrapText="1"/>
    </xf>
    <xf numFmtId="164" fontId="3" fillId="0" borderId="0" xfId="1" applyNumberFormat="1" applyFont="1" applyFill="1" applyBorder="1" applyAlignment="1">
      <alignment wrapText="1"/>
    </xf>
    <xf numFmtId="0" fontId="7" fillId="0" borderId="0" xfId="1" applyFont="1" applyFill="1" applyBorder="1" applyAlignment="1" applyProtection="1">
      <alignment horizontal="center" vertical="top"/>
    </xf>
    <xf numFmtId="164" fontId="10" fillId="0" borderId="0" xfId="1" applyNumberFormat="1" applyFont="1" applyFill="1" applyBorder="1" applyAlignment="1">
      <alignment horizontal="center" vertical="center" wrapText="1"/>
    </xf>
    <xf numFmtId="0" fontId="2" fillId="0" borderId="0" xfId="0" applyFont="1" applyBorder="1" applyAlignment="1">
      <alignment horizontal="center"/>
    </xf>
    <xf numFmtId="0" fontId="3" fillId="0" borderId="0" xfId="1" applyFont="1" applyFill="1" applyBorder="1" applyAlignment="1">
      <alignment horizontal="center" vertical="justify" wrapText="1"/>
    </xf>
    <xf numFmtId="164" fontId="3" fillId="0" borderId="0" xfId="1" applyNumberFormat="1" applyFont="1" applyFill="1" applyBorder="1" applyAlignment="1">
      <alignment horizontal="center" vertical="justify" wrapText="1"/>
    </xf>
    <xf numFmtId="0" fontId="7" fillId="0" borderId="0" xfId="1" applyFont="1" applyFill="1" applyBorder="1" applyAlignment="1" applyProtection="1">
      <alignment horizontal="center" vertical="center"/>
    </xf>
    <xf numFmtId="0" fontId="3" fillId="0" borderId="0" xfId="1" applyFont="1" applyFill="1" applyBorder="1" applyAlignment="1" applyProtection="1">
      <alignment horizontal="left" vertical="top"/>
    </xf>
    <xf numFmtId="0" fontId="3" fillId="0" borderId="0" xfId="1" applyFont="1" applyFill="1" applyBorder="1" applyAlignment="1">
      <alignment horizontal="left" vertical="center" wrapText="1"/>
    </xf>
    <xf numFmtId="0" fontId="8" fillId="0" borderId="0" xfId="1" applyFont="1" applyFill="1" applyBorder="1" applyAlignment="1">
      <alignment horizontal="left" vertical="top" wrapText="1"/>
    </xf>
    <xf numFmtId="0" fontId="3" fillId="0" borderId="0" xfId="1" applyFont="1" applyFill="1" applyBorder="1" applyAlignment="1">
      <alignment horizontal="center" wrapText="1"/>
    </xf>
    <xf numFmtId="0" fontId="10" fillId="0" borderId="0" xfId="1" applyFont="1" applyFill="1" applyBorder="1" applyAlignment="1" applyProtection="1">
      <alignment horizontal="center" vertical="top"/>
    </xf>
    <xf numFmtId="0" fontId="10" fillId="0" borderId="0" xfId="1" applyFont="1" applyFill="1" applyBorder="1" applyAlignment="1">
      <alignment horizontal="center" vertical="center" wrapText="1"/>
    </xf>
    <xf numFmtId="1" fontId="10" fillId="0" borderId="0" xfId="1" applyNumberFormat="1" applyFont="1" applyFill="1" applyBorder="1" applyAlignment="1" applyProtection="1">
      <alignment horizontal="center" vertical="center"/>
    </xf>
    <xf numFmtId="164" fontId="8" fillId="0" borderId="0" xfId="1" applyNumberFormat="1" applyFont="1" applyFill="1" applyBorder="1" applyAlignment="1" applyProtection="1">
      <alignment horizontal="center" vertical="center"/>
    </xf>
    <xf numFmtId="164" fontId="8" fillId="0" borderId="0" xfId="1" applyNumberFormat="1" applyFont="1" applyFill="1" applyBorder="1" applyAlignment="1">
      <alignment horizontal="center" vertical="center" wrapText="1"/>
    </xf>
    <xf numFmtId="164" fontId="10" fillId="0" borderId="0" xfId="1" applyNumberFormat="1" applyFont="1" applyFill="1" applyBorder="1" applyAlignment="1" applyProtection="1">
      <alignment horizontal="center" vertical="center"/>
    </xf>
    <xf numFmtId="164" fontId="13" fillId="0" borderId="0" xfId="1" applyNumberFormat="1" applyFont="1" applyFill="1" applyBorder="1" applyAlignment="1" applyProtection="1">
      <alignment horizontal="center" vertical="center"/>
    </xf>
    <xf numFmtId="0" fontId="3" fillId="0" borderId="0" xfId="1" applyFont="1" applyFill="1" applyBorder="1" applyAlignment="1">
      <alignment horizontal="left" vertical="top" wrapText="1"/>
    </xf>
    <xf numFmtId="0" fontId="11" fillId="2" borderId="0" xfId="1" applyNumberFormat="1" applyFont="1" applyFill="1" applyBorder="1" applyAlignment="1">
      <alignment horizontal="center" vertical="center" wrapText="1"/>
    </xf>
    <xf numFmtId="0" fontId="7" fillId="0" borderId="0" xfId="1" applyFont="1" applyFill="1" applyBorder="1" applyAlignment="1">
      <alignment horizontal="center" vertical="justify" wrapText="1"/>
    </xf>
    <xf numFmtId="0" fontId="7" fillId="0" borderId="0" xfId="1" applyFont="1" applyFill="1" applyBorder="1" applyAlignment="1">
      <alignment horizontal="justify" vertical="justify" wrapText="1"/>
    </xf>
    <xf numFmtId="0" fontId="3" fillId="0" borderId="0" xfId="1" applyNumberFormat="1" applyFont="1" applyFill="1" applyBorder="1" applyAlignment="1">
      <alignment horizontal="center" vertical="center" wrapText="1"/>
    </xf>
    <xf numFmtId="0" fontId="7" fillId="0" borderId="0" xfId="1" applyFont="1" applyFill="1" applyBorder="1" applyAlignment="1" applyProtection="1">
      <alignment vertical="top"/>
    </xf>
    <xf numFmtId="0" fontId="7" fillId="0" borderId="0" xfId="1" applyFont="1" applyFill="1" applyBorder="1" applyAlignment="1">
      <alignment vertical="center" wrapText="1"/>
    </xf>
    <xf numFmtId="43" fontId="7"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left" vertical="top"/>
    </xf>
    <xf numFmtId="0" fontId="0" fillId="0" borderId="0" xfId="0" applyBorder="1" applyAlignment="1">
      <alignment horizontal="center"/>
    </xf>
    <xf numFmtId="0" fontId="10" fillId="0" borderId="0" xfId="1" applyFont="1" applyFill="1" applyBorder="1" applyAlignment="1">
      <alignment horizontal="left" vertical="top" wrapText="1"/>
    </xf>
    <xf numFmtId="1" fontId="8" fillId="0" borderId="0" xfId="1"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0" fontId="8" fillId="0" borderId="0" xfId="1" applyFont="1" applyFill="1" applyBorder="1" applyAlignment="1" applyProtection="1">
      <alignment horizontal="left" vertical="top"/>
    </xf>
    <xf numFmtId="0" fontId="8" fillId="0" borderId="0" xfId="1" applyFont="1" applyFill="1" applyBorder="1" applyAlignment="1">
      <alignment horizontal="center" vertical="center" wrapText="1"/>
    </xf>
    <xf numFmtId="0" fontId="10" fillId="0" borderId="0" xfId="1" applyFont="1" applyFill="1" applyBorder="1" applyAlignment="1">
      <alignment horizontal="center" wrapText="1"/>
    </xf>
    <xf numFmtId="164" fontId="10" fillId="0" borderId="0" xfId="1" applyNumberFormat="1" applyFont="1" applyFill="1" applyBorder="1" applyAlignment="1">
      <alignment horizontal="center" wrapText="1"/>
    </xf>
    <xf numFmtId="164" fontId="10" fillId="0" borderId="0" xfId="1" applyNumberFormat="1" applyFont="1" applyFill="1" applyBorder="1" applyAlignment="1">
      <alignment wrapText="1"/>
    </xf>
    <xf numFmtId="0" fontId="10" fillId="0" borderId="0" xfId="1" applyFont="1" applyBorder="1"/>
    <xf numFmtId="0" fontId="10" fillId="0" borderId="0" xfId="1" applyFont="1" applyFill="1" applyBorder="1" applyAlignment="1" applyProtection="1">
      <alignment horizontal="left" vertical="top"/>
    </xf>
    <xf numFmtId="0" fontId="8" fillId="0" borderId="0" xfId="1" applyFont="1" applyFill="1" applyBorder="1" applyAlignment="1">
      <alignment horizontal="center" vertical="justify" wrapText="1"/>
    </xf>
    <xf numFmtId="164" fontId="8" fillId="0" borderId="0" xfId="1" applyNumberFormat="1" applyFont="1" applyFill="1" applyBorder="1" applyAlignment="1">
      <alignment horizontal="center" vertical="justify" wrapText="1"/>
    </xf>
    <xf numFmtId="0" fontId="6" fillId="0" borderId="0" xfId="0" applyNumberFormat="1" applyFont="1" applyFill="1" applyBorder="1" applyAlignment="1" applyProtection="1">
      <alignment horizontal="center"/>
    </xf>
    <xf numFmtId="0" fontId="8" fillId="0" borderId="0" xfId="0" applyFont="1" applyBorder="1" applyAlignment="1">
      <alignment horizontal="center"/>
    </xf>
    <xf numFmtId="1" fontId="11" fillId="2"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top"/>
    </xf>
    <xf numFmtId="0" fontId="7" fillId="0" borderId="0" xfId="0" applyFont="1" applyFill="1" applyBorder="1" applyAlignment="1">
      <alignment horizontal="center" vertical="center" wrapText="1"/>
    </xf>
    <xf numFmtId="1" fontId="7" fillId="0" borderId="0" xfId="0" applyNumberFormat="1" applyFont="1" applyFill="1" applyBorder="1" applyAlignment="1" applyProtection="1">
      <alignment horizontal="center" vertical="center"/>
    </xf>
    <xf numFmtId="164" fontId="7" fillId="0" borderId="0" xfId="0" applyNumberFormat="1" applyFont="1" applyFill="1" applyBorder="1" applyAlignment="1" applyProtection="1">
      <alignment horizontal="center" vertical="center"/>
    </xf>
    <xf numFmtId="164" fontId="7" fillId="0" borderId="0" xfId="0" applyNumberFormat="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3" fillId="0" borderId="0" xfId="0" applyFont="1" applyFill="1" applyBorder="1" applyAlignment="1" applyProtection="1">
      <alignment horizontal="center" vertical="center"/>
    </xf>
    <xf numFmtId="1"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xf>
    <xf numFmtId="164"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top" wrapText="1"/>
    </xf>
    <xf numFmtId="164" fontId="3" fillId="0" borderId="0" xfId="2" applyNumberFormat="1" applyFont="1" applyFill="1" applyBorder="1" applyAlignment="1">
      <alignment horizontal="center" vertical="center"/>
    </xf>
    <xf numFmtId="0" fontId="7"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top"/>
    </xf>
    <xf numFmtId="0" fontId="7" fillId="0" borderId="0" xfId="1" applyFont="1" applyFill="1" applyBorder="1" applyAlignment="1" applyProtection="1">
      <alignment horizontal="center"/>
    </xf>
    <xf numFmtId="0" fontId="7" fillId="0" borderId="0" xfId="1" applyFont="1" applyFill="1" applyBorder="1" applyAlignment="1">
      <alignment horizontal="center" vertical="center"/>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justify" wrapText="1"/>
    </xf>
    <xf numFmtId="0" fontId="7" fillId="0" borderId="0" xfId="0" applyFont="1" applyFill="1" applyBorder="1" applyAlignment="1" applyProtection="1">
      <alignment horizontal="left" vertical="top"/>
    </xf>
    <xf numFmtId="164" fontId="7" fillId="0" borderId="0" xfId="0" applyNumberFormat="1" applyFont="1" applyFill="1" applyBorder="1" applyAlignment="1">
      <alignment horizontal="center" wrapText="1"/>
    </xf>
    <xf numFmtId="0" fontId="3" fillId="0" borderId="0" xfId="0" applyFont="1" applyFill="1" applyBorder="1" applyAlignment="1">
      <alignment horizontal="center" vertical="center"/>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164" fontId="10" fillId="0" borderId="0" xfId="0" applyNumberFormat="1" applyFont="1" applyFill="1" applyBorder="1" applyAlignment="1">
      <alignment horizontal="center" vertical="center" wrapText="1"/>
    </xf>
    <xf numFmtId="0" fontId="3" fillId="0" borderId="0" xfId="1" applyFont="1" applyFill="1" applyBorder="1" applyAlignment="1" applyProtection="1">
      <alignment horizontal="left" vertical="center"/>
    </xf>
    <xf numFmtId="0" fontId="10" fillId="0" borderId="0" xfId="0" applyFont="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7" fillId="0" borderId="0" xfId="0" applyFont="1" applyFill="1" applyBorder="1" applyAlignment="1" applyProtection="1">
      <alignment horizontal="left"/>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justify" wrapText="1"/>
    </xf>
    <xf numFmtId="0" fontId="3" fillId="0" borderId="0" xfId="0" applyFont="1" applyFill="1" applyBorder="1" applyAlignment="1" applyProtection="1">
      <alignment vertical="top"/>
    </xf>
    <xf numFmtId="1" fontId="3"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top" wrapText="1"/>
    </xf>
    <xf numFmtId="164" fontId="7" fillId="0" borderId="0" xfId="1" applyNumberFormat="1" applyFont="1" applyFill="1" applyBorder="1" applyAlignment="1">
      <alignment horizontal="center" wrapText="1"/>
    </xf>
    <xf numFmtId="0" fontId="8" fillId="0" borderId="0" xfId="1" applyFont="1" applyFill="1" applyBorder="1" applyAlignment="1">
      <alignment horizontal="justify" vertical="justify" wrapText="1"/>
    </xf>
    <xf numFmtId="1" fontId="3" fillId="0" borderId="0" xfId="0" applyNumberFormat="1" applyFont="1" applyFill="1" applyBorder="1" applyAlignment="1">
      <alignment horizontal="center" vertical="center"/>
    </xf>
    <xf numFmtId="0" fontId="10" fillId="0" borderId="0" xfId="0" applyFont="1" applyFill="1" applyBorder="1" applyAlignment="1">
      <alignment horizontal="center"/>
    </xf>
    <xf numFmtId="164" fontId="7" fillId="0" borderId="0" xfId="0" applyNumberFormat="1" applyFont="1" applyFill="1" applyBorder="1" applyAlignment="1">
      <alignment vertical="justify" wrapText="1"/>
    </xf>
    <xf numFmtId="164" fontId="7" fillId="0" borderId="0" xfId="0" applyNumberFormat="1" applyFont="1" applyFill="1" applyBorder="1" applyAlignment="1">
      <alignment horizontal="center" vertical="justify" wrapText="1"/>
    </xf>
    <xf numFmtId="0" fontId="7" fillId="0" borderId="0" xfId="0" applyFont="1" applyFill="1" applyBorder="1" applyAlignment="1" applyProtection="1">
      <alignment vertical="top"/>
    </xf>
    <xf numFmtId="0" fontId="3" fillId="0" borderId="0" xfId="0" applyFont="1" applyFill="1" applyBorder="1" applyAlignment="1">
      <alignment vertical="top" wrapText="1"/>
    </xf>
    <xf numFmtId="0" fontId="10" fillId="0" borderId="0" xfId="1" applyFont="1" applyFill="1" applyBorder="1" applyAlignment="1">
      <alignment vertical="top" wrapText="1"/>
    </xf>
    <xf numFmtId="2" fontId="19" fillId="0" borderId="0" xfId="0" applyNumberFormat="1" applyFont="1" applyBorder="1" applyAlignment="1">
      <alignment wrapText="1"/>
    </xf>
    <xf numFmtId="2" fontId="18" fillId="0" borderId="0" xfId="0" applyNumberFormat="1" applyFont="1" applyBorder="1" applyAlignment="1">
      <alignment horizontal="center" vertical="top" wrapText="1"/>
    </xf>
    <xf numFmtId="2" fontId="18" fillId="0" borderId="0" xfId="0" applyNumberFormat="1" applyFont="1" applyBorder="1" applyAlignment="1">
      <alignment horizontal="left" vertical="top" wrapText="1"/>
    </xf>
    <xf numFmtId="167" fontId="19" fillId="0" borderId="0" xfId="0" applyNumberFormat="1" applyFont="1" applyBorder="1" applyAlignment="1">
      <alignment horizontal="center" vertical="top"/>
    </xf>
    <xf numFmtId="0" fontId="8" fillId="0" borderId="0" xfId="0" applyFont="1" applyBorder="1" applyAlignment="1">
      <alignment horizontal="center" vertical="center"/>
    </xf>
    <xf numFmtId="1" fontId="18" fillId="0" borderId="0" xfId="0" applyNumberFormat="1" applyFont="1" applyBorder="1" applyAlignment="1">
      <alignment horizontal="center" vertical="top" wrapText="1"/>
    </xf>
    <xf numFmtId="2" fontId="18" fillId="0" borderId="0" xfId="0" applyNumberFormat="1" applyFont="1" applyBorder="1" applyAlignment="1">
      <alignment wrapText="1"/>
    </xf>
    <xf numFmtId="0" fontId="19" fillId="0" borderId="0" xfId="0" applyFont="1" applyBorder="1" applyAlignment="1">
      <alignment horizontal="left"/>
    </xf>
    <xf numFmtId="2" fontId="20" fillId="0" borderId="0" xfId="0" applyNumberFormat="1" applyFont="1" applyBorder="1" applyAlignment="1">
      <alignment horizontal="left" vertical="top" wrapText="1"/>
    </xf>
    <xf numFmtId="2" fontId="22" fillId="0" borderId="0" xfId="0" applyNumberFormat="1" applyFont="1" applyBorder="1" applyAlignment="1">
      <alignment wrapText="1"/>
    </xf>
    <xf numFmtId="1" fontId="20" fillId="0" borderId="0" xfId="0" applyNumberFormat="1" applyFont="1" applyBorder="1" applyAlignment="1">
      <alignment horizontal="center" vertical="top" wrapText="1"/>
    </xf>
    <xf numFmtId="2" fontId="20" fillId="0" borderId="0" xfId="0" applyNumberFormat="1" applyFont="1" applyBorder="1" applyAlignment="1">
      <alignment wrapText="1"/>
    </xf>
    <xf numFmtId="0" fontId="23" fillId="0" borderId="0" xfId="0" applyFont="1" applyBorder="1" applyAlignment="1">
      <alignment horizontal="left"/>
    </xf>
    <xf numFmtId="167" fontId="24" fillId="0" borderId="0" xfId="0" applyNumberFormat="1" applyFont="1" applyBorder="1" applyAlignment="1">
      <alignment horizontal="center" vertical="top"/>
    </xf>
    <xf numFmtId="0" fontId="0" fillId="0" borderId="0" xfId="0" applyBorder="1" applyAlignment="1">
      <alignment horizontal="center" vertical="center"/>
    </xf>
    <xf numFmtId="2" fontId="7" fillId="0" borderId="0" xfId="0" applyNumberFormat="1" applyFont="1" applyBorder="1" applyAlignment="1">
      <alignment horizontal="justify" vertical="top" wrapText="1"/>
    </xf>
    <xf numFmtId="164" fontId="3" fillId="0" borderId="0" xfId="1" applyNumberFormat="1" applyFont="1" applyFill="1" applyBorder="1" applyAlignment="1">
      <alignment vertical="center" wrapText="1"/>
    </xf>
    <xf numFmtId="43" fontId="9" fillId="0" borderId="0" xfId="0" applyNumberFormat="1" applyFont="1" applyBorder="1" applyAlignment="1">
      <alignment vertical="center"/>
    </xf>
    <xf numFmtId="0" fontId="3" fillId="0" borderId="0" xfId="0" applyFont="1" applyFill="1" applyBorder="1" applyAlignment="1">
      <alignment horizontal="center" vertical="center"/>
    </xf>
    <xf numFmtId="2" fontId="7" fillId="0" borderId="0" xfId="0" applyNumberFormat="1" applyFont="1" applyBorder="1" applyAlignment="1">
      <alignment horizontal="left" vertical="top" wrapText="1"/>
    </xf>
    <xf numFmtId="0" fontId="3" fillId="0" borderId="0" xfId="1" applyFont="1" applyFill="1" applyBorder="1" applyAlignment="1">
      <alignment vertical="top" wrapText="1"/>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xf>
    <xf numFmtId="164" fontId="3" fillId="0" borderId="0" xfId="1" applyNumberFormat="1" applyFont="1" applyFill="1" applyBorder="1" applyAlignment="1" applyProtection="1">
      <alignment horizontal="center" vertical="center"/>
    </xf>
    <xf numFmtId="0" fontId="7" fillId="0" borderId="0" xfId="1" applyFont="1" applyFill="1" applyBorder="1" applyAlignment="1">
      <alignment horizontal="justify" vertical="top" wrapText="1"/>
    </xf>
    <xf numFmtId="2" fontId="7" fillId="0" borderId="0" xfId="0" applyNumberFormat="1" applyFont="1" applyFill="1" applyBorder="1" applyAlignment="1">
      <alignment horizontal="justify" vertical="justify" wrapText="1" readingOrder="1"/>
    </xf>
    <xf numFmtId="2" fontId="7" fillId="0" borderId="0" xfId="0" applyNumberFormat="1" applyFont="1" applyFill="1" applyBorder="1" applyAlignment="1">
      <alignment horizontal="justify" vertical="top" wrapText="1" readingOrder="1"/>
    </xf>
    <xf numFmtId="0" fontId="10" fillId="0" borderId="0" xfId="1" applyFont="1" applyFill="1" applyBorder="1" applyAlignment="1">
      <alignment horizontal="left" vertical="top" wrapText="1"/>
    </xf>
    <xf numFmtId="0" fontId="7" fillId="0" borderId="0" xfId="1" applyFont="1" applyFill="1" applyBorder="1" applyAlignment="1">
      <alignment horizontal="justify" vertical="justify" wrapText="1"/>
    </xf>
    <xf numFmtId="0" fontId="0" fillId="0" borderId="0" xfId="0" applyBorder="1"/>
    <xf numFmtId="0" fontId="7" fillId="0" borderId="0" xfId="1" applyFont="1" applyFill="1" applyBorder="1" applyAlignment="1">
      <alignment horizontal="left" vertical="top" wrapText="1"/>
    </xf>
    <xf numFmtId="0" fontId="3" fillId="0" borderId="0" xfId="0" applyFont="1" applyFill="1" applyBorder="1" applyAlignment="1">
      <alignment horizontal="center" vertical="top" wrapText="1"/>
    </xf>
    <xf numFmtId="2" fontId="15" fillId="0" borderId="0" xfId="0" applyNumberFormat="1" applyFont="1" applyFill="1" applyBorder="1" applyAlignment="1">
      <alignment horizontal="justify" vertical="justify" wrapText="1" readingOrder="1"/>
    </xf>
    <xf numFmtId="2" fontId="7" fillId="0" borderId="0" xfId="0" applyNumberFormat="1" applyFont="1" applyBorder="1" applyAlignment="1">
      <alignment horizontal="justify" vertical="justify" wrapText="1"/>
    </xf>
    <xf numFmtId="2" fontId="7" fillId="0" borderId="0" xfId="0" applyNumberFormat="1" applyFont="1" applyBorder="1" applyAlignment="1">
      <alignment horizontal="justify" vertical="top" wrapText="1"/>
    </xf>
    <xf numFmtId="1" fontId="3"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0" xfId="0" applyFont="1" applyFill="1" applyBorder="1" applyAlignment="1">
      <alignment horizontal="left" vertical="top" wrapText="1"/>
    </xf>
    <xf numFmtId="0" fontId="3" fillId="0" borderId="0" xfId="1" applyFont="1" applyFill="1" applyBorder="1" applyAlignment="1">
      <alignment horizontal="center" vertical="center" wrapText="1"/>
    </xf>
    <xf numFmtId="0" fontId="10" fillId="0" borderId="0" xfId="0" applyFont="1" applyBorder="1" applyAlignment="1">
      <alignment horizontal="justify" vertical="top" wrapText="1" readingOrder="1"/>
    </xf>
    <xf numFmtId="0" fontId="3" fillId="0" borderId="0" xfId="0" applyFont="1" applyFill="1" applyBorder="1" applyAlignment="1" applyProtection="1">
      <alignment horizontal="center" vertical="center"/>
    </xf>
    <xf numFmtId="0" fontId="7" fillId="0" borderId="0" xfId="0" applyFont="1" applyFill="1" applyBorder="1" applyAlignment="1">
      <alignment horizontal="justify" vertical="justify" wrapText="1" readingOrder="1"/>
    </xf>
    <xf numFmtId="0" fontId="7" fillId="0" borderId="0" xfId="0" applyNumberFormat="1" applyFont="1" applyFill="1" applyBorder="1" applyAlignment="1">
      <alignment horizontal="justify" vertical="top" wrapText="1" readingOrder="1"/>
    </xf>
    <xf numFmtId="0" fontId="10" fillId="0" borderId="0" xfId="1" applyFont="1" applyFill="1" applyBorder="1" applyAlignment="1" applyProtection="1">
      <alignment horizontal="left" vertical="top"/>
    </xf>
    <xf numFmtId="0" fontId="3" fillId="0" borderId="0" xfId="1" applyFont="1" applyFill="1" applyBorder="1" applyAlignment="1">
      <alignment horizontal="left" vertical="justify" wrapText="1"/>
    </xf>
    <xf numFmtId="0" fontId="16" fillId="0" borderId="0" xfId="1" applyFont="1" applyFill="1" applyBorder="1" applyAlignment="1">
      <alignment horizontal="justify" vertical="top" wrapText="1"/>
    </xf>
    <xf numFmtId="0" fontId="7" fillId="0" borderId="0" xfId="1" applyFont="1" applyFill="1" applyBorder="1" applyAlignment="1" applyProtection="1">
      <alignment horizontal="left" vertical="top" wrapText="1"/>
    </xf>
    <xf numFmtId="1" fontId="12" fillId="0" borderId="0" xfId="1" applyNumberFormat="1" applyFont="1" applyFill="1" applyBorder="1" applyAlignment="1">
      <alignment horizontal="center" vertical="center"/>
    </xf>
    <xf numFmtId="0" fontId="10" fillId="0" borderId="0"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xf>
    <xf numFmtId="0" fontId="10" fillId="0" borderId="0" xfId="0" applyFont="1" applyFill="1" applyBorder="1" applyAlignment="1">
      <alignment horizontal="justify" vertical="justify" wrapText="1" readingOrder="1"/>
    </xf>
    <xf numFmtId="0" fontId="3" fillId="0" borderId="0" xfId="0" applyFont="1" applyFill="1" applyBorder="1" applyAlignment="1" applyProtection="1">
      <alignment horizontal="left" vertical="top" wrapText="1"/>
    </xf>
    <xf numFmtId="0" fontId="8" fillId="0" borderId="0" xfId="0" applyFont="1" applyBorder="1" applyAlignment="1">
      <alignment horizontal="center" vertical="center"/>
    </xf>
    <xf numFmtId="0" fontId="7" fillId="0" borderId="0" xfId="0" applyNumberFormat="1" applyFont="1" applyFill="1" applyBorder="1" applyAlignment="1">
      <alignment horizontal="left" vertical="top" wrapText="1"/>
    </xf>
    <xf numFmtId="0" fontId="7" fillId="0" borderId="0" xfId="0" applyFont="1" applyFill="1" applyBorder="1" applyAlignment="1" applyProtection="1">
      <alignment horizontal="left" vertical="center"/>
    </xf>
    <xf numFmtId="2" fontId="7" fillId="0" borderId="0" xfId="0" applyNumberFormat="1" applyFont="1" applyFill="1" applyBorder="1" applyAlignment="1">
      <alignment horizontal="justify" vertical="center" wrapText="1"/>
    </xf>
    <xf numFmtId="0" fontId="7" fillId="0" borderId="0" xfId="0" applyFont="1" applyFill="1" applyBorder="1" applyAlignment="1" applyProtection="1">
      <alignment vertical="top"/>
    </xf>
  </cellXfs>
  <cellStyles count="8">
    <cellStyle name="Comma 2" xfId="7"/>
    <cellStyle name="Comma 4 2 2 2 2" xfId="2"/>
    <cellStyle name="Normal" xfId="0" builtinId="0"/>
    <cellStyle name="Normal 2" xfId="4"/>
    <cellStyle name="Normal 3" xfId="1"/>
    <cellStyle name="Normal 4" xfId="6"/>
    <cellStyle name="Normal 5" xfId="3"/>
    <cellStyle name="Normal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T277"/>
  <sheetViews>
    <sheetView tabSelected="1" view="pageBreakPreview" topLeftCell="A273" zoomScale="25" zoomScaleNormal="25" zoomScaleSheetLayoutView="25" workbookViewId="0">
      <selection activeCell="AT48" sqref="AT48:BC53"/>
    </sheetView>
  </sheetViews>
  <sheetFormatPr defaultColWidth="8.88671875" defaultRowHeight="14.4"/>
  <cols>
    <col min="1" max="1" width="16.21875" style="5" customWidth="1"/>
    <col min="2" max="2" width="61.5546875" style="59" customWidth="1"/>
    <col min="3" max="3" width="25.6640625" style="59" customWidth="1"/>
    <col min="4" max="4" width="21.5546875" style="134" customWidth="1"/>
    <col min="5" max="5" width="35.6640625" style="5" customWidth="1"/>
    <col min="6" max="6" width="34.6640625" style="5" customWidth="1"/>
    <col min="7" max="7" width="43.109375" style="5" customWidth="1"/>
    <col min="8" max="8" width="47.21875" style="59" customWidth="1"/>
    <col min="9" max="9" width="56.109375" style="5" customWidth="1"/>
    <col min="10" max="10" width="65" style="5" customWidth="1"/>
    <col min="11" max="11" width="75.5546875" style="5" customWidth="1"/>
    <col min="12" max="12" width="53.77734375" style="5" customWidth="1"/>
    <col min="13" max="16384" width="8.88671875" style="5"/>
  </cols>
  <sheetData>
    <row r="1" spans="1:20" s="6" customFormat="1" ht="79.95" customHeight="1">
      <c r="A1" s="167" t="s">
        <v>129</v>
      </c>
      <c r="B1" s="167"/>
      <c r="C1" s="167"/>
      <c r="D1" s="167"/>
      <c r="E1" s="167"/>
      <c r="F1" s="167"/>
      <c r="G1" s="167"/>
      <c r="H1" s="167"/>
      <c r="I1" s="167"/>
      <c r="J1" s="167"/>
      <c r="K1" s="167"/>
    </row>
    <row r="2" spans="1:20" ht="166.2" customHeight="1">
      <c r="A2" s="7" t="s">
        <v>0</v>
      </c>
      <c r="B2" s="7" t="s">
        <v>1</v>
      </c>
      <c r="C2" s="8" t="s">
        <v>2</v>
      </c>
      <c r="D2" s="8" t="s">
        <v>3</v>
      </c>
      <c r="E2" s="143" t="s">
        <v>4</v>
      </c>
      <c r="F2" s="143"/>
      <c r="G2" s="143"/>
      <c r="H2" s="9" t="s">
        <v>5</v>
      </c>
      <c r="I2" s="9" t="s">
        <v>130</v>
      </c>
      <c r="J2" s="10" t="s">
        <v>131</v>
      </c>
      <c r="K2" s="9" t="s">
        <v>132</v>
      </c>
    </row>
    <row r="3" spans="1:20" ht="77.400000000000006" customHeight="1">
      <c r="A3" s="7"/>
      <c r="B3" s="7"/>
      <c r="C3" s="8"/>
      <c r="D3" s="8"/>
      <c r="E3" s="11" t="s">
        <v>6</v>
      </c>
      <c r="F3" s="11" t="s">
        <v>7</v>
      </c>
      <c r="G3" s="11" t="s">
        <v>8</v>
      </c>
      <c r="H3" s="9"/>
    </row>
    <row r="4" spans="1:20" ht="258" customHeight="1">
      <c r="A4" s="7">
        <v>1</v>
      </c>
      <c r="B4" s="150" t="s">
        <v>124</v>
      </c>
      <c r="C4" s="150"/>
      <c r="D4" s="150"/>
      <c r="E4" s="150"/>
      <c r="F4" s="150"/>
      <c r="G4" s="150"/>
      <c r="H4" s="150"/>
    </row>
    <row r="5" spans="1:20" ht="77.400000000000006" customHeight="1">
      <c r="A5" s="7"/>
      <c r="B5" s="12" t="s">
        <v>125</v>
      </c>
      <c r="C5" s="12"/>
      <c r="D5" s="7"/>
      <c r="E5" s="12"/>
      <c r="F5" s="12"/>
      <c r="G5" s="12"/>
      <c r="H5" s="12"/>
    </row>
    <row r="6" spans="1:20" ht="77.400000000000006" customHeight="1">
      <c r="A6" s="7"/>
      <c r="B6" s="12"/>
      <c r="C6" s="12"/>
      <c r="D6" s="7">
        <v>1</v>
      </c>
      <c r="E6" s="13">
        <f>20/3.28</f>
        <v>6.0975609756097562</v>
      </c>
      <c r="F6" s="12">
        <v>0.9</v>
      </c>
      <c r="G6" s="12">
        <v>0.15</v>
      </c>
      <c r="H6" s="13">
        <f>PRODUCT(D6:G6)</f>
        <v>0.82317073170731714</v>
      </c>
    </row>
    <row r="7" spans="1:20" ht="77.400000000000006" customHeight="1">
      <c r="A7" s="7"/>
      <c r="B7" s="14" t="s">
        <v>17</v>
      </c>
      <c r="C7" s="7" t="s">
        <v>13</v>
      </c>
      <c r="D7" s="8"/>
      <c r="E7" s="15"/>
      <c r="F7" s="15"/>
      <c r="G7" s="15"/>
      <c r="H7" s="16">
        <f>SUM(H4:H6)</f>
        <v>0.82317073170731714</v>
      </c>
    </row>
    <row r="8" spans="1:20" ht="69" customHeight="1">
      <c r="A8" s="7"/>
      <c r="B8" s="12"/>
      <c r="C8" s="12"/>
      <c r="D8" s="7"/>
      <c r="E8" s="12"/>
      <c r="F8" s="12"/>
      <c r="G8" s="12"/>
      <c r="H8" s="12"/>
      <c r="T8" s="17"/>
    </row>
    <row r="9" spans="1:20" ht="409.6" hidden="1" customHeight="1">
      <c r="A9" s="7">
        <v>1</v>
      </c>
      <c r="B9" s="148" t="s">
        <v>20</v>
      </c>
      <c r="C9" s="149"/>
      <c r="D9" s="149"/>
      <c r="E9" s="149"/>
      <c r="F9" s="149"/>
      <c r="G9" s="149"/>
      <c r="H9" s="149"/>
    </row>
    <row r="10" spans="1:20" ht="409.6" customHeight="1">
      <c r="A10" s="158">
        <f>A4+1</f>
        <v>2</v>
      </c>
      <c r="B10" s="149"/>
      <c r="C10" s="149"/>
      <c r="D10" s="149"/>
      <c r="E10" s="149"/>
      <c r="F10" s="149"/>
      <c r="G10" s="149"/>
      <c r="H10" s="149"/>
    </row>
    <row r="11" spans="1:20" ht="346.8" customHeight="1">
      <c r="A11" s="158"/>
      <c r="B11" s="149"/>
      <c r="C11" s="149"/>
      <c r="D11" s="149"/>
      <c r="E11" s="149"/>
      <c r="F11" s="149"/>
      <c r="G11" s="149"/>
      <c r="H11" s="149"/>
    </row>
    <row r="12" spans="1:20" ht="69.599999999999994" customHeight="1">
      <c r="A12" s="7"/>
      <c r="B12" s="18" t="s">
        <v>15</v>
      </c>
      <c r="C12" s="19"/>
      <c r="D12" s="20"/>
      <c r="E12" s="21"/>
      <c r="F12" s="21"/>
      <c r="G12" s="21"/>
      <c r="H12" s="22"/>
    </row>
    <row r="13" spans="1:20" ht="70.95" customHeight="1">
      <c r="A13" s="23" t="s">
        <v>108</v>
      </c>
      <c r="B13" s="14" t="s">
        <v>16</v>
      </c>
      <c r="C13" s="7"/>
      <c r="D13" s="24"/>
      <c r="E13" s="25"/>
      <c r="F13" s="25"/>
      <c r="G13" s="25"/>
      <c r="H13" s="26">
        <f t="shared" ref="H13" si="0">PRODUCT(D13:G13)</f>
        <v>0</v>
      </c>
    </row>
    <row r="14" spans="1:20" ht="59.4">
      <c r="A14" s="7"/>
      <c r="B14" s="27"/>
      <c r="C14" s="24"/>
      <c r="D14" s="28">
        <v>7</v>
      </c>
      <c r="E14" s="29">
        <v>0.23</v>
      </c>
      <c r="F14" s="29">
        <v>0.45</v>
      </c>
      <c r="G14" s="26">
        <f>10.5/3.28</f>
        <v>3.2012195121951224</v>
      </c>
      <c r="H14" s="26">
        <f>PRODUCT(D14:G14)</f>
        <v>2.3192835365853663</v>
      </c>
    </row>
    <row r="15" spans="1:20" ht="59.4">
      <c r="A15" s="7"/>
      <c r="B15" s="27"/>
      <c r="C15" s="24"/>
      <c r="D15" s="28">
        <v>6</v>
      </c>
      <c r="E15" s="29">
        <v>0.23</v>
      </c>
      <c r="F15" s="29">
        <v>0.6</v>
      </c>
      <c r="G15" s="26">
        <f>10.5/3.28</f>
        <v>3.2012195121951224</v>
      </c>
      <c r="H15" s="26">
        <f>PRODUCT(D15:G15)</f>
        <v>2.6506097560975617</v>
      </c>
    </row>
    <row r="16" spans="1:20" ht="67.2" customHeight="1">
      <c r="A16" s="7"/>
      <c r="B16" s="14" t="s">
        <v>17</v>
      </c>
      <c r="C16" s="7" t="s">
        <v>13</v>
      </c>
      <c r="D16" s="8"/>
      <c r="E16" s="15"/>
      <c r="F16" s="15"/>
      <c r="G16" s="15"/>
      <c r="H16" s="16">
        <f>SUM(H13:H15)</f>
        <v>4.9698932926829276</v>
      </c>
    </row>
    <row r="17" spans="1:8" ht="50.4" customHeight="1">
      <c r="A17" s="7"/>
      <c r="B17" s="30"/>
      <c r="C17" s="31"/>
      <c r="D17" s="7"/>
      <c r="E17" s="32"/>
      <c r="F17" s="32"/>
      <c r="G17" s="32"/>
      <c r="H17" s="16"/>
    </row>
    <row r="18" spans="1:8" ht="59.4">
      <c r="A18" s="7" t="s">
        <v>7</v>
      </c>
      <c r="B18" s="14" t="s">
        <v>37</v>
      </c>
      <c r="C18" s="31"/>
      <c r="D18" s="7"/>
      <c r="E18" s="32"/>
      <c r="F18" s="32"/>
      <c r="G18" s="32"/>
      <c r="H18" s="16"/>
    </row>
    <row r="19" spans="1:8" ht="59.4">
      <c r="A19" s="7"/>
      <c r="B19" s="33" t="s">
        <v>39</v>
      </c>
      <c r="C19" s="24"/>
      <c r="D19" s="28">
        <v>2</v>
      </c>
      <c r="E19" s="29">
        <v>13.786</v>
      </c>
      <c r="F19" s="29">
        <v>0.23</v>
      </c>
      <c r="G19" s="34">
        <v>0.15</v>
      </c>
      <c r="H19" s="26">
        <f t="shared" ref="H19:H24" si="1">PRODUCT(C19:G19)</f>
        <v>0.95123400000000002</v>
      </c>
    </row>
    <row r="20" spans="1:8" ht="59.4">
      <c r="A20" s="7"/>
      <c r="B20" s="33"/>
      <c r="C20" s="24"/>
      <c r="D20" s="28">
        <v>2</v>
      </c>
      <c r="E20" s="29">
        <v>14.17</v>
      </c>
      <c r="F20" s="29">
        <v>0.23</v>
      </c>
      <c r="G20" s="34">
        <v>0.15</v>
      </c>
      <c r="H20" s="26">
        <f t="shared" si="1"/>
        <v>0.97772999999999999</v>
      </c>
    </row>
    <row r="21" spans="1:8" ht="59.4">
      <c r="A21" s="7"/>
      <c r="B21" s="33"/>
      <c r="C21" s="24"/>
      <c r="D21" s="28">
        <v>1</v>
      </c>
      <c r="E21" s="29">
        <v>12.8</v>
      </c>
      <c r="F21" s="29">
        <v>0.23</v>
      </c>
      <c r="G21" s="34">
        <v>0.15</v>
      </c>
      <c r="H21" s="26">
        <f t="shared" si="1"/>
        <v>0.44160000000000005</v>
      </c>
    </row>
    <row r="22" spans="1:8" ht="59.4">
      <c r="A22" s="7"/>
      <c r="B22" s="33"/>
      <c r="C22" s="24"/>
      <c r="D22" s="28">
        <v>1</v>
      </c>
      <c r="E22" s="29">
        <v>8.7629999999999999</v>
      </c>
      <c r="F22" s="29">
        <v>0.23</v>
      </c>
      <c r="G22" s="34">
        <v>0.15</v>
      </c>
      <c r="H22" s="26">
        <f t="shared" si="1"/>
        <v>0.30232350000000002</v>
      </c>
    </row>
    <row r="23" spans="1:8" ht="59.4">
      <c r="A23" s="7"/>
      <c r="B23" s="33" t="s">
        <v>84</v>
      </c>
      <c r="C23" s="24"/>
      <c r="D23" s="28">
        <v>2</v>
      </c>
      <c r="E23" s="29">
        <v>1.52</v>
      </c>
      <c r="F23" s="29">
        <v>0.23</v>
      </c>
      <c r="G23" s="34">
        <v>3.2</v>
      </c>
      <c r="H23" s="26">
        <f t="shared" si="1"/>
        <v>2.2374400000000003</v>
      </c>
    </row>
    <row r="24" spans="1:8" ht="59.4">
      <c r="A24" s="7"/>
      <c r="B24" s="33"/>
      <c r="C24" s="24"/>
      <c r="D24" s="28">
        <v>2</v>
      </c>
      <c r="E24" s="29">
        <v>1.57</v>
      </c>
      <c r="F24" s="29">
        <v>0.23</v>
      </c>
      <c r="G24" s="34">
        <v>3.2</v>
      </c>
      <c r="H24" s="26">
        <f t="shared" si="1"/>
        <v>2.3110400000000002</v>
      </c>
    </row>
    <row r="25" spans="1:8" ht="59.4">
      <c r="A25" s="7"/>
      <c r="B25" s="14" t="s">
        <v>24</v>
      </c>
      <c r="C25" s="7" t="s">
        <v>13</v>
      </c>
      <c r="D25" s="8"/>
      <c r="E25" s="15"/>
      <c r="F25" s="15"/>
      <c r="G25" s="15"/>
      <c r="H25" s="16">
        <f>SUM(H19:H24)</f>
        <v>7.2213675000000013</v>
      </c>
    </row>
    <row r="26" spans="1:8" ht="59.4">
      <c r="A26" s="7"/>
      <c r="B26" s="30"/>
      <c r="C26" s="31"/>
      <c r="D26" s="7"/>
      <c r="E26" s="32"/>
      <c r="F26" s="32"/>
      <c r="G26" s="32"/>
      <c r="H26" s="16"/>
    </row>
    <row r="27" spans="1:8" ht="59.4">
      <c r="A27" s="7" t="s">
        <v>109</v>
      </c>
      <c r="B27" s="14" t="s">
        <v>34</v>
      </c>
      <c r="C27" s="31"/>
      <c r="D27" s="7"/>
      <c r="E27" s="32"/>
      <c r="F27" s="32"/>
      <c r="G27" s="32"/>
      <c r="H27" s="16"/>
    </row>
    <row r="28" spans="1:8" ht="59.4">
      <c r="A28" s="7"/>
      <c r="B28" s="33" t="s">
        <v>35</v>
      </c>
      <c r="C28" s="24"/>
      <c r="D28" s="28">
        <v>5</v>
      </c>
      <c r="E28" s="29">
        <f>2+0.5+0.5</f>
        <v>3</v>
      </c>
      <c r="F28" s="29">
        <v>0.45</v>
      </c>
      <c r="G28" s="34">
        <v>0.1</v>
      </c>
      <c r="H28" s="26">
        <f>PRODUCT(C28:G28)</f>
        <v>0.67500000000000004</v>
      </c>
    </row>
    <row r="29" spans="1:8" ht="59.4">
      <c r="A29" s="7"/>
      <c r="B29" s="33" t="s">
        <v>36</v>
      </c>
      <c r="C29" s="24"/>
      <c r="D29" s="28">
        <v>4</v>
      </c>
      <c r="E29" s="29">
        <f>1.37+0.5+0.5</f>
        <v>2.37</v>
      </c>
      <c r="F29" s="29">
        <v>0.45</v>
      </c>
      <c r="G29" s="34">
        <v>0.1</v>
      </c>
      <c r="H29" s="26">
        <f>PRODUCT(C29:G29)</f>
        <v>0.42660000000000003</v>
      </c>
    </row>
    <row r="30" spans="1:8" ht="59.4">
      <c r="A30" s="7"/>
      <c r="B30" s="14" t="s">
        <v>24</v>
      </c>
      <c r="C30" s="7" t="s">
        <v>13</v>
      </c>
      <c r="D30" s="8"/>
      <c r="E30" s="15"/>
      <c r="F30" s="15"/>
      <c r="G30" s="15"/>
      <c r="H30" s="16">
        <f>SUM(H28:H29)</f>
        <v>1.1016000000000001</v>
      </c>
    </row>
    <row r="31" spans="1:8" ht="59.4">
      <c r="A31" s="7"/>
      <c r="B31" s="30"/>
      <c r="C31" s="31"/>
      <c r="D31" s="7"/>
      <c r="E31" s="32"/>
      <c r="F31" s="32"/>
      <c r="G31" s="32"/>
      <c r="H31" s="16"/>
    </row>
    <row r="32" spans="1:8" ht="59.4">
      <c r="A32" s="7" t="s">
        <v>8</v>
      </c>
      <c r="B32" s="14" t="s">
        <v>32</v>
      </c>
      <c r="C32" s="31"/>
      <c r="D32" s="7"/>
      <c r="E32" s="32"/>
      <c r="F32" s="32"/>
      <c r="G32" s="32"/>
      <c r="H32" s="16"/>
    </row>
    <row r="33" spans="1:8" ht="59.4">
      <c r="A33" s="7"/>
      <c r="B33" s="33" t="s">
        <v>22</v>
      </c>
      <c r="C33" s="24"/>
      <c r="D33" s="28">
        <v>4</v>
      </c>
      <c r="E33" s="29">
        <v>5.2590000000000003</v>
      </c>
      <c r="F33" s="29">
        <v>0.23</v>
      </c>
      <c r="G33" s="34">
        <v>0.45</v>
      </c>
      <c r="H33" s="26">
        <f t="shared" ref="H33:H38" si="2">PRODUCT(C33:G33)</f>
        <v>2.1772260000000001</v>
      </c>
    </row>
    <row r="34" spans="1:8" ht="59.4">
      <c r="A34" s="7"/>
      <c r="B34" s="33"/>
      <c r="C34" s="24"/>
      <c r="D34" s="28">
        <v>4</v>
      </c>
      <c r="E34" s="29">
        <v>3.65</v>
      </c>
      <c r="F34" s="29">
        <v>0.23</v>
      </c>
      <c r="G34" s="34">
        <v>0.45</v>
      </c>
      <c r="H34" s="26">
        <f t="shared" si="2"/>
        <v>1.5111000000000001</v>
      </c>
    </row>
    <row r="35" spans="1:8" ht="59.4">
      <c r="A35" s="7"/>
      <c r="B35" s="33"/>
      <c r="C35" s="24"/>
      <c r="D35" s="28">
        <v>4</v>
      </c>
      <c r="E35" s="29">
        <v>4.1150000000000002</v>
      </c>
      <c r="F35" s="29">
        <v>0.23</v>
      </c>
      <c r="G35" s="34">
        <v>0.45</v>
      </c>
      <c r="H35" s="26">
        <f t="shared" si="2"/>
        <v>1.7036100000000003</v>
      </c>
    </row>
    <row r="36" spans="1:8" ht="61.2">
      <c r="A36" s="7"/>
      <c r="B36" s="33" t="s">
        <v>23</v>
      </c>
      <c r="C36" s="35"/>
      <c r="D36" s="28">
        <v>3</v>
      </c>
      <c r="E36" s="29">
        <v>5.2590000000000003</v>
      </c>
      <c r="F36" s="29">
        <v>0.23</v>
      </c>
      <c r="G36" s="34">
        <v>0.45</v>
      </c>
      <c r="H36" s="26">
        <f t="shared" si="2"/>
        <v>1.6329195000000001</v>
      </c>
    </row>
    <row r="37" spans="1:8" ht="59.4">
      <c r="A37" s="7"/>
      <c r="B37" s="33"/>
      <c r="C37" s="24"/>
      <c r="D37" s="28">
        <v>4</v>
      </c>
      <c r="E37" s="29">
        <v>4.1150000000000002</v>
      </c>
      <c r="F37" s="29">
        <v>0.23</v>
      </c>
      <c r="G37" s="34">
        <v>0.45</v>
      </c>
      <c r="H37" s="26">
        <f t="shared" si="2"/>
        <v>1.7036100000000003</v>
      </c>
    </row>
    <row r="38" spans="1:8" ht="59.4">
      <c r="A38" s="7"/>
      <c r="B38" s="33"/>
      <c r="C38" s="24"/>
      <c r="D38" s="28">
        <v>4</v>
      </c>
      <c r="E38" s="29">
        <v>5.2569999999999997</v>
      </c>
      <c r="F38" s="29">
        <v>0.23</v>
      </c>
      <c r="G38" s="34">
        <v>0.45</v>
      </c>
      <c r="H38" s="26">
        <f t="shared" si="2"/>
        <v>2.1763979999999998</v>
      </c>
    </row>
    <row r="39" spans="1:8" ht="59.4">
      <c r="A39" s="7"/>
      <c r="B39" s="14" t="s">
        <v>24</v>
      </c>
      <c r="C39" s="7" t="s">
        <v>13</v>
      </c>
      <c r="D39" s="8"/>
      <c r="E39" s="15"/>
      <c r="F39" s="15"/>
      <c r="G39" s="15"/>
      <c r="H39" s="16">
        <f>SUM(H33:H38)</f>
        <v>10.904863500000001</v>
      </c>
    </row>
    <row r="40" spans="1:8" ht="59.4">
      <c r="A40" s="7"/>
      <c r="B40" s="30"/>
      <c r="C40" s="31"/>
      <c r="D40" s="7"/>
      <c r="E40" s="32"/>
      <c r="F40" s="32"/>
      <c r="G40" s="32"/>
      <c r="H40" s="16"/>
    </row>
    <row r="41" spans="1:8" ht="59.4">
      <c r="A41" s="7" t="s">
        <v>110</v>
      </c>
      <c r="B41" s="14" t="s">
        <v>25</v>
      </c>
      <c r="C41" s="24"/>
      <c r="D41" s="28">
        <v>1</v>
      </c>
      <c r="E41" s="29">
        <v>12.8</v>
      </c>
      <c r="F41" s="29">
        <v>13.78</v>
      </c>
      <c r="G41" s="34">
        <v>0.15</v>
      </c>
      <c r="H41" s="26">
        <f>PRODUCT(C41:G41)</f>
        <v>26.457600000000003</v>
      </c>
    </row>
    <row r="42" spans="1:8" ht="59.4">
      <c r="A42" s="7"/>
      <c r="B42" s="33" t="s">
        <v>33</v>
      </c>
      <c r="C42" s="24"/>
      <c r="D42" s="28">
        <v>1</v>
      </c>
      <c r="E42" s="29">
        <v>4.57</v>
      </c>
      <c r="F42" s="29">
        <v>4.79</v>
      </c>
      <c r="G42" s="34">
        <v>0.15</v>
      </c>
      <c r="H42" s="26">
        <f>-G42</f>
        <v>-0.15</v>
      </c>
    </row>
    <row r="43" spans="1:8" ht="59.4">
      <c r="A43" s="7"/>
      <c r="B43" s="14" t="s">
        <v>26</v>
      </c>
      <c r="C43" s="7" t="s">
        <v>13</v>
      </c>
      <c r="D43" s="8"/>
      <c r="E43" s="15"/>
      <c r="F43" s="15"/>
      <c r="G43" s="15"/>
      <c r="H43" s="16">
        <f>SUM(H41:H42)</f>
        <v>26.307600000000004</v>
      </c>
    </row>
    <row r="44" spans="1:8" ht="59.4">
      <c r="A44" s="7"/>
      <c r="B44" s="30"/>
      <c r="C44" s="31"/>
      <c r="D44" s="7"/>
      <c r="E44" s="32"/>
      <c r="F44" s="32"/>
      <c r="G44" s="32"/>
      <c r="H44" s="16"/>
    </row>
    <row r="45" spans="1:8" ht="59.4">
      <c r="A45" s="7" t="s">
        <v>111</v>
      </c>
      <c r="B45" s="15" t="s">
        <v>27</v>
      </c>
      <c r="C45" s="15"/>
      <c r="D45" s="36"/>
      <c r="E45" s="37"/>
      <c r="F45" s="37"/>
      <c r="G45" s="37"/>
      <c r="H45" s="29">
        <v>0</v>
      </c>
    </row>
    <row r="46" spans="1:8" ht="59.4">
      <c r="A46" s="7"/>
      <c r="B46" s="38" t="s">
        <v>28</v>
      </c>
      <c r="C46" s="24"/>
      <c r="D46" s="28">
        <v>2</v>
      </c>
      <c r="E46" s="29">
        <v>2.1339999999999999</v>
      </c>
      <c r="F46" s="29">
        <v>1.37</v>
      </c>
      <c r="G46" s="26">
        <v>0.1</v>
      </c>
      <c r="H46" s="26">
        <f>PRODUCT(D46:G46)</f>
        <v>0.58471600000000012</v>
      </c>
    </row>
    <row r="47" spans="1:8" ht="59.4">
      <c r="A47" s="7"/>
      <c r="B47" s="38"/>
      <c r="C47" s="24"/>
      <c r="D47" s="28">
        <v>1</v>
      </c>
      <c r="E47" s="29">
        <v>1.82</v>
      </c>
      <c r="F47" s="29">
        <v>1.37</v>
      </c>
      <c r="G47" s="26">
        <v>0.1</v>
      </c>
      <c r="H47" s="26">
        <f>PRODUCT(D47:G47)</f>
        <v>0.24934000000000003</v>
      </c>
    </row>
    <row r="48" spans="1:8" ht="59.4">
      <c r="A48" s="7"/>
      <c r="B48" s="33" t="s">
        <v>29</v>
      </c>
      <c r="C48" s="24"/>
      <c r="D48" s="28">
        <v>1</v>
      </c>
      <c r="E48" s="29">
        <v>1.37</v>
      </c>
      <c r="F48" s="29">
        <v>1.37</v>
      </c>
      <c r="G48" s="26">
        <v>0.1</v>
      </c>
      <c r="H48" s="26">
        <f>PRODUCT(D48:G48)</f>
        <v>0.18769000000000002</v>
      </c>
    </row>
    <row r="49" spans="1:8" ht="59.4">
      <c r="A49" s="7"/>
      <c r="B49" s="166" t="s">
        <v>30</v>
      </c>
      <c r="C49" s="166"/>
      <c r="D49" s="28">
        <v>23</v>
      </c>
      <c r="E49" s="29">
        <v>0.15</v>
      </c>
      <c r="F49" s="29">
        <v>0.3</v>
      </c>
      <c r="G49" s="26">
        <v>0.1</v>
      </c>
      <c r="H49" s="26">
        <f>PRODUCT(C49:G49)</f>
        <v>0.10349999999999999</v>
      </c>
    </row>
    <row r="50" spans="1:8" ht="59.4">
      <c r="A50" s="7"/>
      <c r="B50" s="39" t="s">
        <v>31</v>
      </c>
      <c r="C50" s="40" t="s">
        <v>13</v>
      </c>
      <c r="D50" s="8"/>
      <c r="E50" s="15"/>
      <c r="F50" s="15"/>
      <c r="G50" s="15"/>
      <c r="H50" s="16">
        <f>SUM(H46:H49)</f>
        <v>1.1252460000000002</v>
      </c>
    </row>
    <row r="51" spans="1:8" ht="59.4">
      <c r="A51" s="7"/>
      <c r="B51" s="30"/>
      <c r="C51" s="41"/>
      <c r="D51" s="42"/>
      <c r="E51" s="32"/>
      <c r="F51" s="32"/>
      <c r="G51" s="32"/>
      <c r="H51" s="16"/>
    </row>
    <row r="52" spans="1:8" ht="368.4" customHeight="1">
      <c r="A52" s="7">
        <f>A10+1</f>
        <v>3</v>
      </c>
      <c r="B52" s="144" t="s">
        <v>21</v>
      </c>
      <c r="C52" s="144"/>
      <c r="D52" s="144"/>
      <c r="E52" s="144"/>
      <c r="F52" s="144"/>
      <c r="G52" s="144"/>
      <c r="H52" s="144"/>
    </row>
    <row r="53" spans="1:8" ht="118.8">
      <c r="A53" s="7"/>
      <c r="B53" s="43"/>
      <c r="C53" s="44"/>
      <c r="D53" s="45"/>
      <c r="E53" s="46" t="s">
        <v>47</v>
      </c>
      <c r="F53" s="46" t="s">
        <v>82</v>
      </c>
      <c r="G53" s="47" t="s">
        <v>99</v>
      </c>
      <c r="H53" s="48"/>
    </row>
    <row r="54" spans="1:8" ht="59.4">
      <c r="A54" s="7"/>
      <c r="B54" s="163" t="s">
        <v>83</v>
      </c>
      <c r="C54" s="163"/>
      <c r="D54" s="45">
        <v>1</v>
      </c>
      <c r="E54" s="49">
        <f>F54/10.75</f>
        <v>151.60837209302326</v>
      </c>
      <c r="F54" s="49">
        <v>1629.79</v>
      </c>
      <c r="G54" s="34">
        <f>F54*5</f>
        <v>8148.95</v>
      </c>
      <c r="H54" s="34"/>
    </row>
    <row r="55" spans="1:8" ht="59.4">
      <c r="A55" s="7"/>
      <c r="B55" s="50" t="s">
        <v>9</v>
      </c>
      <c r="C55" s="7" t="s">
        <v>18</v>
      </c>
      <c r="D55" s="7"/>
      <c r="E55" s="37"/>
      <c r="F55" s="37"/>
      <c r="G55" s="37"/>
      <c r="H55" s="37">
        <f>SUM(G54)</f>
        <v>8148.95</v>
      </c>
    </row>
    <row r="56" spans="1:8" ht="59.4">
      <c r="A56" s="7"/>
      <c r="B56" s="50"/>
      <c r="C56" s="7" t="s">
        <v>19</v>
      </c>
      <c r="D56" s="7"/>
      <c r="E56" s="37"/>
      <c r="F56" s="37"/>
      <c r="G56" s="37"/>
      <c r="H56" s="37">
        <f>H55/1000</f>
        <v>8.1489499999999992</v>
      </c>
    </row>
    <row r="57" spans="1:8" ht="59.4">
      <c r="A57" s="7"/>
      <c r="B57" s="30"/>
      <c r="C57" s="41"/>
      <c r="D57" s="42"/>
      <c r="E57" s="32"/>
      <c r="F57" s="32"/>
      <c r="G57" s="32"/>
      <c r="H57" s="16"/>
    </row>
    <row r="58" spans="1:8" ht="310.8" customHeight="1">
      <c r="A58" s="51">
        <f>A52+1</f>
        <v>4</v>
      </c>
      <c r="B58" s="144" t="s">
        <v>62</v>
      </c>
      <c r="C58" s="144"/>
      <c r="D58" s="144"/>
      <c r="E58" s="144"/>
      <c r="F58" s="144"/>
      <c r="G58" s="144"/>
      <c r="H58" s="144"/>
    </row>
    <row r="59" spans="1:8" ht="59.4">
      <c r="A59" s="51"/>
      <c r="B59" s="164" t="s">
        <v>74</v>
      </c>
      <c r="C59" s="164"/>
      <c r="D59" s="52"/>
      <c r="E59" s="53"/>
      <c r="F59" s="53"/>
      <c r="G59" s="53"/>
      <c r="H59" s="53"/>
    </row>
    <row r="60" spans="1:8" ht="59.4">
      <c r="A60" s="54"/>
      <c r="B60" s="55" t="s">
        <v>75</v>
      </c>
      <c r="C60" s="56"/>
      <c r="D60" s="28">
        <v>1</v>
      </c>
      <c r="E60" s="29">
        <v>14.17</v>
      </c>
      <c r="F60" s="57">
        <v>0.23</v>
      </c>
      <c r="G60" s="57">
        <v>3.2</v>
      </c>
      <c r="H60" s="57">
        <f t="shared" ref="H60:H66" si="3">PRODUCT(D60:G60)</f>
        <v>10.429120000000001</v>
      </c>
    </row>
    <row r="61" spans="1:8" ht="59.4">
      <c r="A61" s="54"/>
      <c r="B61" s="33"/>
      <c r="C61" s="24"/>
      <c r="D61" s="28">
        <v>1</v>
      </c>
      <c r="E61" s="29">
        <v>8.7629999999999999</v>
      </c>
      <c r="F61" s="57">
        <v>0.23</v>
      </c>
      <c r="G61" s="57">
        <v>3.2</v>
      </c>
      <c r="H61" s="57">
        <f t="shared" si="3"/>
        <v>6.4495680000000011</v>
      </c>
    </row>
    <row r="62" spans="1:8" ht="59.4">
      <c r="A62" s="54"/>
      <c r="B62" s="33"/>
      <c r="C62" s="24"/>
      <c r="D62" s="28">
        <v>1</v>
      </c>
      <c r="E62" s="29">
        <v>13.78</v>
      </c>
      <c r="F62" s="57">
        <v>0.23</v>
      </c>
      <c r="G62" s="57">
        <v>3.2</v>
      </c>
      <c r="H62" s="57">
        <f t="shared" si="3"/>
        <v>10.14208</v>
      </c>
    </row>
    <row r="63" spans="1:8" ht="59.4">
      <c r="A63" s="54"/>
      <c r="B63" s="33"/>
      <c r="C63" s="24"/>
      <c r="D63" s="28">
        <v>1</v>
      </c>
      <c r="E63" s="29">
        <v>8</v>
      </c>
      <c r="F63" s="57">
        <v>0.23</v>
      </c>
      <c r="G63" s="57">
        <v>3.2</v>
      </c>
      <c r="H63" s="57">
        <f t="shared" si="3"/>
        <v>5.8880000000000008</v>
      </c>
    </row>
    <row r="64" spans="1:8" ht="59.4">
      <c r="A64" s="54"/>
      <c r="B64" s="33"/>
      <c r="C64" s="24"/>
      <c r="D64" s="28">
        <v>1</v>
      </c>
      <c r="E64" s="29">
        <v>4.34</v>
      </c>
      <c r="F64" s="57">
        <v>0.23</v>
      </c>
      <c r="G64" s="57">
        <v>3.2</v>
      </c>
      <c r="H64" s="57">
        <f t="shared" si="3"/>
        <v>3.1942400000000002</v>
      </c>
    </row>
    <row r="65" spans="1:8" ht="59.4">
      <c r="A65" s="54"/>
      <c r="B65" s="58" t="s">
        <v>76</v>
      </c>
      <c r="C65" s="24"/>
      <c r="D65" s="28">
        <v>2</v>
      </c>
      <c r="E65" s="29">
        <v>4.5659999999999998</v>
      </c>
      <c r="F65" s="57">
        <v>0.23</v>
      </c>
      <c r="G65" s="57">
        <v>3.2</v>
      </c>
      <c r="H65" s="57">
        <f t="shared" si="3"/>
        <v>6.7211520000000009</v>
      </c>
    </row>
    <row r="66" spans="1:8" ht="59.4">
      <c r="A66" s="54"/>
      <c r="C66" s="24"/>
      <c r="D66" s="28">
        <v>1</v>
      </c>
      <c r="E66" s="29">
        <v>5.25</v>
      </c>
      <c r="F66" s="57">
        <v>0.23</v>
      </c>
      <c r="G66" s="57">
        <v>3.2</v>
      </c>
      <c r="H66" s="57">
        <f t="shared" si="3"/>
        <v>3.8640000000000003</v>
      </c>
    </row>
    <row r="67" spans="1:8" ht="59.4">
      <c r="A67" s="54"/>
      <c r="B67" s="14" t="s">
        <v>52</v>
      </c>
      <c r="C67" s="24"/>
      <c r="D67" s="28"/>
      <c r="E67" s="29"/>
      <c r="F67" s="57"/>
      <c r="G67" s="57"/>
      <c r="H67" s="57"/>
    </row>
    <row r="68" spans="1:8" ht="59.4">
      <c r="A68" s="54"/>
      <c r="B68" s="33" t="s">
        <v>40</v>
      </c>
      <c r="C68" s="24"/>
      <c r="D68" s="28">
        <v>1</v>
      </c>
      <c r="E68" s="29">
        <v>1.06</v>
      </c>
      <c r="F68" s="57">
        <v>0.23</v>
      </c>
      <c r="G68" s="57">
        <v>2.1</v>
      </c>
      <c r="H68" s="57">
        <f>-PRODUCT(D68:G68)</f>
        <v>-0.5119800000000001</v>
      </c>
    </row>
    <row r="69" spans="1:8" ht="59.4">
      <c r="A69" s="54"/>
      <c r="B69" s="33" t="s">
        <v>77</v>
      </c>
      <c r="C69" s="24"/>
      <c r="D69" s="28">
        <v>5</v>
      </c>
      <c r="E69" s="29">
        <f>6/3.2</f>
        <v>1.875</v>
      </c>
      <c r="F69" s="57">
        <v>0.23</v>
      </c>
      <c r="G69" s="57">
        <v>1.37</v>
      </c>
      <c r="H69" s="57">
        <f>-PRODUCT(D69:G69)</f>
        <v>-2.9540625</v>
      </c>
    </row>
    <row r="70" spans="1:8" ht="59.4">
      <c r="A70" s="54"/>
      <c r="B70" s="33" t="s">
        <v>36</v>
      </c>
      <c r="C70" s="24"/>
      <c r="D70" s="28">
        <v>3</v>
      </c>
      <c r="E70" s="29">
        <v>1.37</v>
      </c>
      <c r="F70" s="57">
        <v>0.23</v>
      </c>
      <c r="G70" s="57">
        <v>1.88</v>
      </c>
      <c r="H70" s="57">
        <f>-PRODUCT(D70:G70)</f>
        <v>-1.7771640000000002</v>
      </c>
    </row>
    <row r="71" spans="1:8" ht="59.4">
      <c r="A71" s="54"/>
      <c r="B71" s="40" t="s">
        <v>9</v>
      </c>
      <c r="C71" s="7" t="s">
        <v>13</v>
      </c>
      <c r="D71" s="8"/>
      <c r="E71" s="15"/>
      <c r="F71" s="15"/>
      <c r="G71" s="15"/>
      <c r="H71" s="16">
        <f>SUM(H60:H70)</f>
        <v>41.444953500000004</v>
      </c>
    </row>
    <row r="72" spans="1:8" ht="59.4">
      <c r="A72" s="54"/>
      <c r="B72" s="60"/>
      <c r="C72" s="31"/>
      <c r="D72" s="7"/>
      <c r="E72" s="32"/>
      <c r="F72" s="32"/>
      <c r="G72" s="32"/>
      <c r="H72" s="16"/>
    </row>
    <row r="73" spans="1:8" ht="59.4">
      <c r="A73" s="54"/>
      <c r="B73" s="60"/>
      <c r="C73" s="31"/>
      <c r="D73" s="7"/>
      <c r="E73" s="32"/>
      <c r="F73" s="32"/>
      <c r="G73" s="32"/>
      <c r="H73" s="16"/>
    </row>
    <row r="74" spans="1:8" ht="409.6" customHeight="1">
      <c r="A74" s="61">
        <f>A58+1</f>
        <v>5</v>
      </c>
      <c r="B74" s="165" t="s">
        <v>89</v>
      </c>
      <c r="C74" s="165"/>
      <c r="D74" s="165"/>
      <c r="E74" s="165"/>
      <c r="F74" s="165"/>
      <c r="G74" s="165"/>
      <c r="H74" s="165"/>
    </row>
    <row r="75" spans="1:8" ht="59.4">
      <c r="A75" s="62"/>
      <c r="B75" s="63" t="s">
        <v>85</v>
      </c>
      <c r="C75" s="64"/>
      <c r="D75" s="65"/>
      <c r="E75" s="66"/>
      <c r="F75" s="67"/>
      <c r="G75" s="66"/>
      <c r="H75" s="48"/>
    </row>
    <row r="76" spans="1:8" ht="59.4">
      <c r="A76" s="68"/>
      <c r="B76" s="69" t="s">
        <v>88</v>
      </c>
      <c r="C76" s="64"/>
      <c r="D76" s="65">
        <v>1</v>
      </c>
      <c r="E76" s="66">
        <f>11.2/3.28</f>
        <v>3.4146341463414633</v>
      </c>
      <c r="F76" s="67">
        <v>0.12</v>
      </c>
      <c r="G76" s="34">
        <v>3.05</v>
      </c>
      <c r="H76" s="29">
        <f t="shared" ref="H76:H78" si="4">PRODUCT(C76:G76)</f>
        <v>1.2497560975609754</v>
      </c>
    </row>
    <row r="77" spans="1:8" ht="59.4">
      <c r="A77" s="62"/>
      <c r="B77" s="63" t="s">
        <v>86</v>
      </c>
      <c r="C77" s="64"/>
      <c r="D77" s="65"/>
      <c r="E77" s="66"/>
      <c r="F77" s="57"/>
      <c r="G77" s="66"/>
      <c r="H77" s="29"/>
    </row>
    <row r="78" spans="1:8" ht="59.4">
      <c r="A78" s="62"/>
      <c r="B78" s="69" t="s">
        <v>87</v>
      </c>
      <c r="C78" s="64"/>
      <c r="D78" s="65">
        <v>-1</v>
      </c>
      <c r="E78" s="66">
        <v>0.76</v>
      </c>
      <c r="F78" s="57">
        <v>0.12</v>
      </c>
      <c r="G78" s="66">
        <v>2.1</v>
      </c>
      <c r="H78" s="29">
        <f t="shared" si="4"/>
        <v>-0.19152000000000002</v>
      </c>
    </row>
    <row r="79" spans="1:8" ht="59.4">
      <c r="A79" s="62"/>
      <c r="B79" s="41" t="s">
        <v>9</v>
      </c>
      <c r="C79" s="64" t="s">
        <v>47</v>
      </c>
      <c r="D79" s="70"/>
      <c r="E79" s="71"/>
      <c r="F79" s="71"/>
      <c r="G79" s="71"/>
      <c r="H79" s="71">
        <f>SUM(H75:H78)</f>
        <v>1.0582360975609753</v>
      </c>
    </row>
    <row r="80" spans="1:8" ht="59.4">
      <c r="A80" s="7"/>
      <c r="B80" s="72"/>
      <c r="C80" s="24"/>
      <c r="D80" s="28"/>
      <c r="E80" s="29"/>
      <c r="F80" s="29"/>
      <c r="G80" s="26"/>
      <c r="H80" s="73"/>
    </row>
    <row r="81" spans="1:8" ht="332.4" customHeight="1">
      <c r="A81" s="74">
        <f>A74+1</f>
        <v>6</v>
      </c>
      <c r="B81" s="162" t="s">
        <v>63</v>
      </c>
      <c r="C81" s="162"/>
      <c r="D81" s="162"/>
      <c r="E81" s="162"/>
      <c r="F81" s="162"/>
      <c r="G81" s="162"/>
      <c r="H81" s="162"/>
    </row>
    <row r="82" spans="1:8" ht="59.4">
      <c r="A82" s="75"/>
      <c r="B82" s="76" t="s">
        <v>41</v>
      </c>
      <c r="C82" s="77"/>
      <c r="D82" s="78"/>
      <c r="E82" s="79"/>
      <c r="F82" s="79"/>
      <c r="G82" s="80"/>
      <c r="H82" s="79">
        <f>F82*E82*D82</f>
        <v>0</v>
      </c>
    </row>
    <row r="83" spans="1:8" ht="59.4">
      <c r="A83" s="75"/>
      <c r="B83" s="33" t="s">
        <v>77</v>
      </c>
      <c r="C83" s="24"/>
      <c r="D83" s="28">
        <v>5</v>
      </c>
      <c r="E83" s="29">
        <v>1.88</v>
      </c>
      <c r="F83" s="57">
        <v>1.37</v>
      </c>
      <c r="G83" s="57"/>
      <c r="H83" s="57">
        <f>PRODUCT(D83:G83)</f>
        <v>12.877999999999998</v>
      </c>
    </row>
    <row r="84" spans="1:8" ht="59.4">
      <c r="A84" s="75"/>
      <c r="B84" s="33" t="s">
        <v>90</v>
      </c>
      <c r="C84" s="24"/>
      <c r="D84" s="28">
        <v>1</v>
      </c>
      <c r="E84" s="29">
        <v>0.6</v>
      </c>
      <c r="F84" s="57">
        <v>0.6</v>
      </c>
      <c r="G84" s="57"/>
      <c r="H84" s="57">
        <f>PRODUCT(D84:G84)</f>
        <v>0.36</v>
      </c>
    </row>
    <row r="85" spans="1:8" ht="59.4">
      <c r="A85" s="75"/>
      <c r="B85" s="33" t="s">
        <v>36</v>
      </c>
      <c r="C85" s="24"/>
      <c r="D85" s="28">
        <v>3</v>
      </c>
      <c r="E85" s="29">
        <v>1.37</v>
      </c>
      <c r="F85" s="57">
        <v>1.88</v>
      </c>
      <c r="G85" s="57"/>
      <c r="H85" s="57">
        <f>PRODUCT(D85:G85)</f>
        <v>7.7267999999999999</v>
      </c>
    </row>
    <row r="86" spans="1:8" ht="59.4">
      <c r="A86" s="75"/>
      <c r="B86" s="81" t="s">
        <v>42</v>
      </c>
      <c r="C86" s="82" t="s">
        <v>14</v>
      </c>
      <c r="D86" s="78"/>
      <c r="E86" s="79"/>
      <c r="F86" s="79"/>
      <c r="G86" s="79"/>
      <c r="H86" s="83">
        <f>SUM(H83:H85)</f>
        <v>20.964799999999997</v>
      </c>
    </row>
    <row r="87" spans="1:8" ht="118.8">
      <c r="A87" s="75"/>
      <c r="B87" s="81"/>
      <c r="C87" s="84"/>
      <c r="D87" s="78"/>
      <c r="E87" s="79" t="s">
        <v>43</v>
      </c>
      <c r="F87" s="85" t="s">
        <v>64</v>
      </c>
      <c r="G87" s="79"/>
      <c r="H87" s="79"/>
    </row>
    <row r="88" spans="1:8" ht="118.8">
      <c r="A88" s="75"/>
      <c r="B88" s="86" t="s">
        <v>44</v>
      </c>
      <c r="C88" s="77" t="s">
        <v>45</v>
      </c>
      <c r="D88" s="78">
        <v>1</v>
      </c>
      <c r="E88" s="79">
        <f>H86:H86</f>
        <v>20.964799999999997</v>
      </c>
      <c r="F88" s="79">
        <v>21</v>
      </c>
      <c r="G88" s="79"/>
      <c r="H88" s="87">
        <f>F88*E88*D88</f>
        <v>440.2607999999999</v>
      </c>
    </row>
    <row r="89" spans="1:8" ht="59.4">
      <c r="A89" s="75"/>
      <c r="B89" s="88"/>
      <c r="C89" s="77"/>
      <c r="D89" s="78"/>
      <c r="E89" s="79"/>
      <c r="F89" s="79"/>
      <c r="G89" s="79"/>
      <c r="H89" s="87"/>
    </row>
    <row r="90" spans="1:8" ht="59.4" customHeight="1">
      <c r="A90" s="160">
        <f>A81+1</f>
        <v>7</v>
      </c>
      <c r="B90" s="159" t="s">
        <v>65</v>
      </c>
      <c r="C90" s="159"/>
      <c r="D90" s="159"/>
      <c r="E90" s="159"/>
      <c r="F90" s="159"/>
      <c r="G90" s="159"/>
      <c r="H90" s="159"/>
    </row>
    <row r="91" spans="1:8" ht="409.6" customHeight="1">
      <c r="A91" s="160"/>
      <c r="B91" s="159"/>
      <c r="C91" s="159"/>
      <c r="D91" s="159"/>
      <c r="E91" s="159"/>
      <c r="F91" s="159"/>
      <c r="G91" s="159"/>
      <c r="H91" s="159"/>
    </row>
    <row r="92" spans="1:8" ht="409.2" customHeight="1">
      <c r="A92" s="160"/>
      <c r="B92" s="159"/>
      <c r="C92" s="159"/>
      <c r="D92" s="159"/>
      <c r="E92" s="159"/>
      <c r="F92" s="159"/>
      <c r="G92" s="159"/>
      <c r="H92" s="159"/>
    </row>
    <row r="93" spans="1:8" ht="59.4">
      <c r="A93" s="75"/>
      <c r="B93" s="89" t="s">
        <v>46</v>
      </c>
      <c r="C93" s="77"/>
      <c r="D93" s="78"/>
      <c r="E93" s="79"/>
      <c r="F93" s="79"/>
      <c r="G93" s="80"/>
      <c r="H93" s="79">
        <f>F93*E93*D93</f>
        <v>0</v>
      </c>
    </row>
    <row r="94" spans="1:8" ht="59.4">
      <c r="A94" s="75"/>
      <c r="B94" s="90" t="s">
        <v>38</v>
      </c>
      <c r="C94" s="7"/>
      <c r="D94" s="91">
        <v>5</v>
      </c>
      <c r="E94" s="29">
        <v>1.88</v>
      </c>
      <c r="F94" s="57"/>
      <c r="G94" s="57">
        <v>1.37</v>
      </c>
      <c r="H94" s="79">
        <f>PRODUCT(C94:G94)</f>
        <v>12.877999999999998</v>
      </c>
    </row>
    <row r="95" spans="1:8" ht="59.4">
      <c r="A95" s="75"/>
      <c r="B95" s="90" t="s">
        <v>91</v>
      </c>
      <c r="C95" s="7"/>
      <c r="D95" s="91">
        <v>1</v>
      </c>
      <c r="E95" s="29">
        <v>0.6</v>
      </c>
      <c r="F95" s="57"/>
      <c r="G95" s="57">
        <v>0.45</v>
      </c>
      <c r="H95" s="79">
        <f>PRODUCT(C95:G95)</f>
        <v>0.27</v>
      </c>
    </row>
    <row r="96" spans="1:8" ht="59.4">
      <c r="A96" s="75"/>
      <c r="B96" s="90" t="s">
        <v>36</v>
      </c>
      <c r="C96" s="7"/>
      <c r="D96" s="91">
        <v>1</v>
      </c>
      <c r="E96" s="29">
        <v>1.88</v>
      </c>
      <c r="F96" s="57"/>
      <c r="G96" s="57">
        <v>1.37</v>
      </c>
      <c r="H96" s="79">
        <f>PRODUCT(C96:G96)</f>
        <v>2.5756000000000001</v>
      </c>
    </row>
    <row r="97" spans="1:8" ht="59.4">
      <c r="A97" s="75"/>
      <c r="B97" s="92" t="s">
        <v>9</v>
      </c>
      <c r="C97" s="75" t="s">
        <v>47</v>
      </c>
      <c r="D97" s="75"/>
      <c r="E97" s="93"/>
      <c r="F97" s="93"/>
      <c r="G97" s="93"/>
      <c r="H97" s="93">
        <f>SUM(H94:H96)</f>
        <v>15.723599999999998</v>
      </c>
    </row>
    <row r="98" spans="1:8" ht="59.4">
      <c r="A98" s="82"/>
      <c r="B98" s="30"/>
      <c r="C98" s="31"/>
      <c r="D98" s="7"/>
      <c r="E98" s="32"/>
      <c r="F98" s="32"/>
      <c r="G98" s="32"/>
      <c r="H98" s="16"/>
    </row>
    <row r="99" spans="1:8" ht="59.4" customHeight="1">
      <c r="A99" s="160">
        <f>A90+1</f>
        <v>8</v>
      </c>
      <c r="B99" s="170" t="s">
        <v>66</v>
      </c>
      <c r="C99" s="170"/>
      <c r="D99" s="170"/>
      <c r="E99" s="170"/>
      <c r="F99" s="170"/>
      <c r="G99" s="170"/>
      <c r="H99" s="170"/>
    </row>
    <row r="100" spans="1:8" ht="59.4" customHeight="1">
      <c r="A100" s="160"/>
      <c r="B100" s="170"/>
      <c r="C100" s="170"/>
      <c r="D100" s="170"/>
      <c r="E100" s="170"/>
      <c r="F100" s="170"/>
      <c r="G100" s="170"/>
      <c r="H100" s="170"/>
    </row>
    <row r="101" spans="1:8" ht="409.6" customHeight="1">
      <c r="A101" s="160"/>
      <c r="B101" s="170"/>
      <c r="C101" s="170"/>
      <c r="D101" s="170"/>
      <c r="E101" s="170"/>
      <c r="F101" s="170"/>
      <c r="G101" s="170"/>
      <c r="H101" s="170"/>
    </row>
    <row r="102" spans="1:8" ht="409.6" customHeight="1">
      <c r="A102" s="160"/>
      <c r="B102" s="170"/>
      <c r="C102" s="170"/>
      <c r="D102" s="170"/>
      <c r="E102" s="170"/>
      <c r="F102" s="170"/>
      <c r="G102" s="170"/>
      <c r="H102" s="170"/>
    </row>
    <row r="103" spans="1:8" ht="59.4">
      <c r="A103" s="82"/>
      <c r="B103" s="89" t="s">
        <v>48</v>
      </c>
      <c r="C103" s="77"/>
      <c r="D103" s="78"/>
      <c r="E103" s="79"/>
      <c r="F103" s="79"/>
      <c r="G103" s="80"/>
      <c r="H103" s="79">
        <f>G103*F103*E103*D103</f>
        <v>0</v>
      </c>
    </row>
    <row r="104" spans="1:8" ht="59.4">
      <c r="A104" s="82"/>
      <c r="B104" s="94" t="s">
        <v>49</v>
      </c>
      <c r="C104" s="77"/>
      <c r="D104" s="77">
        <v>1</v>
      </c>
      <c r="E104" s="95">
        <v>1.37</v>
      </c>
      <c r="F104" s="79"/>
      <c r="G104" s="80">
        <v>2.1</v>
      </c>
      <c r="H104" s="79">
        <f>PRODUCT(D104:G104)</f>
        <v>2.8770000000000002</v>
      </c>
    </row>
    <row r="105" spans="1:8" ht="59.4">
      <c r="A105" s="82"/>
      <c r="B105" s="94" t="s">
        <v>49</v>
      </c>
      <c r="C105" s="77"/>
      <c r="D105" s="77">
        <v>3</v>
      </c>
      <c r="E105" s="95">
        <v>0.75</v>
      </c>
      <c r="F105" s="79"/>
      <c r="G105" s="80">
        <v>2.1</v>
      </c>
      <c r="H105" s="79">
        <f>PRODUCT(D105:G105)</f>
        <v>4.7250000000000005</v>
      </c>
    </row>
    <row r="106" spans="1:8" ht="59.4">
      <c r="A106" s="82"/>
      <c r="B106" s="92" t="s">
        <v>9</v>
      </c>
      <c r="C106" s="75" t="s">
        <v>50</v>
      </c>
      <c r="D106" s="75"/>
      <c r="E106" s="93"/>
      <c r="F106" s="93"/>
      <c r="G106" s="93"/>
      <c r="H106" s="93">
        <f>SUM(H104:H105)</f>
        <v>7.6020000000000003</v>
      </c>
    </row>
    <row r="107" spans="1:8" ht="59.4">
      <c r="A107" s="82"/>
      <c r="B107" s="60" t="s">
        <v>10</v>
      </c>
      <c r="C107" s="31"/>
      <c r="D107" s="7"/>
      <c r="E107" s="32"/>
      <c r="F107" s="32"/>
      <c r="G107" s="32"/>
      <c r="H107" s="16">
        <v>4041</v>
      </c>
    </row>
    <row r="108" spans="1:8" ht="59.4">
      <c r="A108" s="82"/>
      <c r="B108" s="60" t="s">
        <v>11</v>
      </c>
      <c r="C108" s="31"/>
      <c r="D108" s="7"/>
      <c r="E108" s="32"/>
      <c r="F108" s="32"/>
      <c r="G108" s="32"/>
      <c r="H108" s="16">
        <f>H107*5%</f>
        <v>202.05</v>
      </c>
    </row>
    <row r="109" spans="1:8" ht="59.4">
      <c r="A109" s="82"/>
      <c r="B109" s="147" t="s">
        <v>101</v>
      </c>
      <c r="C109" s="147"/>
      <c r="D109" s="147"/>
      <c r="E109" s="147"/>
      <c r="F109" s="32"/>
      <c r="G109" s="32"/>
      <c r="H109" s="16">
        <f>H107*2%</f>
        <v>80.820000000000007</v>
      </c>
    </row>
    <row r="110" spans="1:8" ht="59.4">
      <c r="A110" s="82"/>
      <c r="B110" s="60" t="s">
        <v>12</v>
      </c>
      <c r="C110" s="31"/>
      <c r="D110" s="7"/>
      <c r="E110" s="32"/>
      <c r="F110" s="32"/>
      <c r="G110" s="32"/>
      <c r="H110" s="16">
        <f>SUM(H107:H109)</f>
        <v>4323.87</v>
      </c>
    </row>
    <row r="111" spans="1:8" ht="59.4">
      <c r="A111" s="82"/>
      <c r="B111" s="60"/>
      <c r="C111" s="31"/>
      <c r="D111" s="7"/>
      <c r="E111" s="32"/>
      <c r="F111" s="32"/>
      <c r="G111" s="32"/>
      <c r="H111" s="16"/>
    </row>
    <row r="112" spans="1:8" ht="310.95" customHeight="1">
      <c r="A112" s="82">
        <f>A99+1</f>
        <v>9</v>
      </c>
      <c r="B112" s="144" t="s">
        <v>104</v>
      </c>
      <c r="C112" s="144"/>
      <c r="D112" s="144"/>
      <c r="E112" s="144"/>
      <c r="F112" s="144"/>
      <c r="G112" s="144"/>
      <c r="H112" s="144"/>
    </row>
    <row r="113" spans="1:8" ht="59.4">
      <c r="A113" s="82"/>
      <c r="B113" s="39" t="s">
        <v>103</v>
      </c>
      <c r="C113" s="24"/>
      <c r="D113" s="28"/>
      <c r="E113" s="29"/>
      <c r="F113" s="29"/>
      <c r="G113" s="26"/>
      <c r="H113" s="29">
        <v>0</v>
      </c>
    </row>
    <row r="114" spans="1:8" ht="59.4">
      <c r="A114" s="82"/>
      <c r="B114" s="58" t="s">
        <v>98</v>
      </c>
      <c r="C114" s="24"/>
      <c r="D114" s="28">
        <v>1</v>
      </c>
      <c r="E114" s="29">
        <f>1.37+1.37+2.1+2.1</f>
        <v>6.9399999999999995</v>
      </c>
      <c r="F114" s="29">
        <v>7.4999999999999997E-2</v>
      </c>
      <c r="G114" s="26">
        <v>0.15</v>
      </c>
      <c r="H114" s="29">
        <f>PRODUCT(D114:G114)</f>
        <v>7.8074999999999992E-2</v>
      </c>
    </row>
    <row r="115" spans="1:8" ht="59.4">
      <c r="A115" s="82"/>
      <c r="B115" s="50" t="s">
        <v>9</v>
      </c>
      <c r="C115" s="7" t="s">
        <v>13</v>
      </c>
      <c r="D115" s="36"/>
      <c r="E115" s="37"/>
      <c r="F115" s="37"/>
      <c r="G115" s="37"/>
      <c r="H115" s="37">
        <f>SUM(H114:H114)</f>
        <v>7.8074999999999992E-2</v>
      </c>
    </row>
    <row r="116" spans="1:8" ht="59.4">
      <c r="A116" s="82"/>
      <c r="B116" s="60"/>
      <c r="C116" s="31"/>
      <c r="D116" s="7"/>
      <c r="E116" s="32"/>
      <c r="F116" s="32"/>
      <c r="G116" s="32"/>
      <c r="H116" s="16"/>
    </row>
    <row r="117" spans="1:8" ht="368.4" customHeight="1">
      <c r="A117" s="82">
        <f>A112+1</f>
        <v>10</v>
      </c>
      <c r="B117" s="144" t="s">
        <v>106</v>
      </c>
      <c r="C117" s="144"/>
      <c r="D117" s="144"/>
      <c r="E117" s="144"/>
      <c r="F117" s="144"/>
      <c r="G117" s="144"/>
      <c r="H117" s="144"/>
    </row>
    <row r="118" spans="1:8" ht="59.4">
      <c r="A118" s="82"/>
      <c r="B118" s="39" t="s">
        <v>105</v>
      </c>
      <c r="C118" s="24"/>
      <c r="D118" s="28"/>
      <c r="E118" s="29"/>
      <c r="F118" s="29"/>
      <c r="G118" s="26"/>
      <c r="H118" s="29">
        <v>0</v>
      </c>
    </row>
    <row r="119" spans="1:8" ht="59.4">
      <c r="A119" s="82"/>
      <c r="B119" s="58" t="s">
        <v>98</v>
      </c>
      <c r="C119" s="24"/>
      <c r="D119" s="28">
        <v>1</v>
      </c>
      <c r="E119" s="29">
        <f>1.37+1.37+2.1+2.1</f>
        <v>6.9399999999999995</v>
      </c>
      <c r="F119" s="29">
        <v>7.4999999999999997E-2</v>
      </c>
      <c r="G119" s="26">
        <v>0.15</v>
      </c>
      <c r="H119" s="29">
        <f>PRODUCT(D119:G119)</f>
        <v>7.8074999999999992E-2</v>
      </c>
    </row>
    <row r="120" spans="1:8" ht="59.4">
      <c r="A120" s="82"/>
      <c r="B120" s="50" t="s">
        <v>9</v>
      </c>
      <c r="C120" s="7" t="s">
        <v>13</v>
      </c>
      <c r="D120" s="36"/>
      <c r="E120" s="37"/>
      <c r="F120" s="37"/>
      <c r="G120" s="37"/>
      <c r="H120" s="37">
        <f>SUM(H119:H119)</f>
        <v>7.8074999999999992E-2</v>
      </c>
    </row>
    <row r="121" spans="1:8" ht="59.4">
      <c r="A121" s="82"/>
      <c r="B121" s="30"/>
      <c r="C121" s="31"/>
      <c r="D121" s="7"/>
      <c r="E121" s="32"/>
      <c r="F121" s="32"/>
      <c r="G121" s="32"/>
      <c r="H121" s="16"/>
    </row>
    <row r="122" spans="1:8" ht="59.4" customHeight="1">
      <c r="A122" s="156">
        <f>A117+1</f>
        <v>11</v>
      </c>
      <c r="B122" s="161" t="s">
        <v>67</v>
      </c>
      <c r="C122" s="161"/>
      <c r="D122" s="161"/>
      <c r="E122" s="161"/>
      <c r="F122" s="161"/>
      <c r="G122" s="161"/>
      <c r="H122" s="161"/>
    </row>
    <row r="123" spans="1:8" ht="409.6" customHeight="1">
      <c r="A123" s="156"/>
      <c r="B123" s="161"/>
      <c r="C123" s="161"/>
      <c r="D123" s="161"/>
      <c r="E123" s="161"/>
      <c r="F123" s="161"/>
      <c r="G123" s="161"/>
      <c r="H123" s="161"/>
    </row>
    <row r="124" spans="1:8" ht="178.8" customHeight="1">
      <c r="A124" s="96"/>
      <c r="B124" s="161"/>
      <c r="C124" s="161"/>
      <c r="D124" s="161"/>
      <c r="E124" s="161"/>
      <c r="F124" s="161"/>
      <c r="G124" s="161"/>
      <c r="H124" s="161"/>
    </row>
    <row r="125" spans="1:8" ht="59.4">
      <c r="A125" s="96"/>
      <c r="B125" s="92" t="s">
        <v>78</v>
      </c>
      <c r="C125" s="97"/>
      <c r="D125" s="77"/>
      <c r="E125" s="98"/>
      <c r="F125" s="98"/>
      <c r="G125" s="98"/>
      <c r="H125" s="97"/>
    </row>
    <row r="126" spans="1:8" ht="59.4">
      <c r="A126" s="75"/>
      <c r="B126" s="94" t="s">
        <v>79</v>
      </c>
      <c r="C126" s="77"/>
      <c r="D126" s="78">
        <v>2</v>
      </c>
      <c r="E126" s="79">
        <v>1.06</v>
      </c>
      <c r="F126" s="79">
        <v>1.06</v>
      </c>
      <c r="G126" s="99"/>
      <c r="H126" s="79">
        <f>PRODUCT(D126:G126)</f>
        <v>2.2472000000000003</v>
      </c>
    </row>
    <row r="127" spans="1:8" ht="59.4">
      <c r="A127" s="75"/>
      <c r="B127" s="94" t="s">
        <v>80</v>
      </c>
      <c r="C127" s="77"/>
      <c r="D127" s="78">
        <v>23</v>
      </c>
      <c r="E127" s="79">
        <v>1.37</v>
      </c>
      <c r="F127" s="79">
        <v>0.15</v>
      </c>
      <c r="G127" s="99"/>
      <c r="H127" s="79">
        <f>PRODUCT(D127:G127)</f>
        <v>4.7264999999999997</v>
      </c>
    </row>
    <row r="128" spans="1:8" ht="59.4">
      <c r="A128" s="75"/>
      <c r="B128" s="94"/>
      <c r="C128" s="77"/>
      <c r="D128" s="78">
        <v>22</v>
      </c>
      <c r="E128" s="79">
        <v>1.37</v>
      </c>
      <c r="F128" s="79">
        <v>0.3</v>
      </c>
      <c r="G128" s="99"/>
      <c r="H128" s="79">
        <f>PRODUCT(D128:G128)</f>
        <v>9.0419999999999998</v>
      </c>
    </row>
    <row r="129" spans="1:8" ht="59.4">
      <c r="A129" s="75"/>
      <c r="B129" s="92" t="s">
        <v>9</v>
      </c>
      <c r="C129" s="75" t="s">
        <v>50</v>
      </c>
      <c r="D129" s="75"/>
      <c r="E129" s="93"/>
      <c r="F129" s="93"/>
      <c r="G129" s="93"/>
      <c r="H129" s="93">
        <f>SUM(H126:H128)</f>
        <v>16.015699999999999</v>
      </c>
    </row>
    <row r="130" spans="1:8" ht="59.4">
      <c r="A130" s="75"/>
      <c r="B130" s="30"/>
      <c r="C130" s="31"/>
      <c r="D130" s="7"/>
      <c r="E130" s="32"/>
      <c r="F130" s="32"/>
      <c r="G130" s="32"/>
      <c r="H130" s="16"/>
    </row>
    <row r="131" spans="1:8" ht="375.6" customHeight="1">
      <c r="A131" s="75">
        <f>A122+1</f>
        <v>12</v>
      </c>
      <c r="B131" s="144" t="s">
        <v>68</v>
      </c>
      <c r="C131" s="144"/>
      <c r="D131" s="144"/>
      <c r="E131" s="144"/>
      <c r="F131" s="144"/>
      <c r="G131" s="144"/>
      <c r="H131" s="144"/>
    </row>
    <row r="132" spans="1:8" ht="59.4">
      <c r="A132" s="75"/>
      <c r="B132" s="100" t="s">
        <v>53</v>
      </c>
      <c r="C132" s="24"/>
      <c r="D132" s="28"/>
      <c r="E132" s="29"/>
      <c r="F132" s="29"/>
      <c r="G132" s="34"/>
      <c r="H132" s="29">
        <v>0</v>
      </c>
    </row>
    <row r="133" spans="1:8" ht="59.4">
      <c r="A133" s="75"/>
      <c r="B133" s="33" t="s">
        <v>75</v>
      </c>
      <c r="C133" s="24"/>
      <c r="D133" s="28">
        <v>1</v>
      </c>
      <c r="E133" s="29">
        <v>14.17</v>
      </c>
      <c r="F133" s="29"/>
      <c r="G133" s="34">
        <v>3.2</v>
      </c>
      <c r="H133" s="29">
        <f>PRODUCT(D133:G133)</f>
        <v>45.344000000000001</v>
      </c>
    </row>
    <row r="134" spans="1:8" ht="59.4">
      <c r="A134" s="75"/>
      <c r="B134" s="33"/>
      <c r="C134" s="24"/>
      <c r="D134" s="28">
        <v>1</v>
      </c>
      <c r="E134" s="29">
        <v>8.7629999999999999</v>
      </c>
      <c r="F134" s="29"/>
      <c r="G134" s="34">
        <v>3.2</v>
      </c>
      <c r="H134" s="29">
        <f>PRODUCT(D134:G134)</f>
        <v>28.041600000000003</v>
      </c>
    </row>
    <row r="135" spans="1:8" ht="59.4">
      <c r="A135" s="75"/>
      <c r="B135" s="33"/>
      <c r="C135" s="24"/>
      <c r="D135" s="28">
        <v>1</v>
      </c>
      <c r="E135" s="29">
        <v>13.78</v>
      </c>
      <c r="F135" s="29"/>
      <c r="G135" s="34">
        <v>3.2</v>
      </c>
      <c r="H135" s="29">
        <f>PRODUCT(D135:G135)</f>
        <v>44.096000000000004</v>
      </c>
    </row>
    <row r="136" spans="1:8" ht="59.4">
      <c r="A136" s="75"/>
      <c r="B136" s="33"/>
      <c r="C136" s="24"/>
      <c r="D136" s="28">
        <v>1</v>
      </c>
      <c r="E136" s="29">
        <v>8</v>
      </c>
      <c r="F136" s="29"/>
      <c r="G136" s="34">
        <v>3.2</v>
      </c>
      <c r="H136" s="29">
        <f>PRODUCT(D136:G136)</f>
        <v>25.6</v>
      </c>
    </row>
    <row r="137" spans="1:8" ht="59.4">
      <c r="A137" s="75"/>
      <c r="B137" s="33"/>
      <c r="C137" s="24"/>
      <c r="D137" s="28">
        <v>1</v>
      </c>
      <c r="E137" s="29">
        <v>4.34</v>
      </c>
      <c r="F137" s="29"/>
      <c r="G137" s="34">
        <v>3.2</v>
      </c>
      <c r="H137" s="29">
        <f>PRODUCT(C137:G137)</f>
        <v>13.888</v>
      </c>
    </row>
    <row r="138" spans="1:8" ht="59.4">
      <c r="A138" s="75"/>
      <c r="B138" s="33" t="s">
        <v>76</v>
      </c>
      <c r="C138" s="24"/>
      <c r="D138" s="28">
        <v>2</v>
      </c>
      <c r="E138" s="29">
        <v>4.5659999999999998</v>
      </c>
      <c r="F138" s="29"/>
      <c r="G138" s="34">
        <v>3.2</v>
      </c>
      <c r="H138" s="29">
        <f>PRODUCT(C138:G138)</f>
        <v>29.2224</v>
      </c>
    </row>
    <row r="139" spans="1:8" ht="59.4">
      <c r="A139" s="75"/>
      <c r="C139" s="24"/>
      <c r="D139" s="28">
        <v>1</v>
      </c>
      <c r="E139" s="29">
        <v>5.25</v>
      </c>
      <c r="F139" s="29"/>
      <c r="G139" s="34">
        <v>3.2</v>
      </c>
      <c r="H139" s="29">
        <f>PRODUCT(C139:G139)</f>
        <v>16.8</v>
      </c>
    </row>
    <row r="140" spans="1:8" ht="59.4">
      <c r="A140" s="75"/>
      <c r="B140" s="33" t="s">
        <v>81</v>
      </c>
      <c r="C140" s="24"/>
      <c r="D140" s="28">
        <v>2</v>
      </c>
      <c r="E140" s="29">
        <v>1.79</v>
      </c>
      <c r="F140" s="29"/>
      <c r="G140" s="34">
        <v>3.2</v>
      </c>
      <c r="H140" s="29">
        <f t="shared" ref="H140" si="5">PRODUCT(C140:G140)</f>
        <v>11.456000000000001</v>
      </c>
    </row>
    <row r="141" spans="1:8" ht="59.4">
      <c r="A141" s="75"/>
      <c r="B141" s="81"/>
      <c r="C141" s="101"/>
      <c r="D141" s="78">
        <v>2</v>
      </c>
      <c r="E141" s="79">
        <v>1.52</v>
      </c>
      <c r="F141" s="29"/>
      <c r="G141" s="34">
        <v>3.2</v>
      </c>
      <c r="H141" s="29">
        <f>PRODUCT(C141:G141)</f>
        <v>9.7280000000000015</v>
      </c>
    </row>
    <row r="142" spans="1:8" ht="59.4">
      <c r="A142" s="75"/>
      <c r="B142" s="81" t="s">
        <v>92</v>
      </c>
      <c r="C142" s="101"/>
      <c r="D142" s="78">
        <v>2</v>
      </c>
      <c r="E142" s="79">
        <f>12/3.28</f>
        <v>3.6585365853658538</v>
      </c>
      <c r="F142" s="29"/>
      <c r="G142" s="34">
        <v>3.2</v>
      </c>
      <c r="H142" s="29">
        <f t="shared" ref="H142:H149" si="6">PRODUCT(C142:G142)</f>
        <v>23.414634146341466</v>
      </c>
    </row>
    <row r="143" spans="1:8" ht="59.4">
      <c r="A143" s="75"/>
      <c r="B143" s="81"/>
      <c r="C143" s="101"/>
      <c r="D143" s="78">
        <v>2</v>
      </c>
      <c r="E143" s="79">
        <f>4/3.28</f>
        <v>1.2195121951219512</v>
      </c>
      <c r="F143" s="29"/>
      <c r="G143" s="34">
        <v>3.2</v>
      </c>
      <c r="H143" s="29">
        <f t="shared" si="6"/>
        <v>7.8048780487804876</v>
      </c>
    </row>
    <row r="144" spans="1:8" ht="59.4">
      <c r="A144" s="75"/>
      <c r="B144" s="81" t="s">
        <v>93</v>
      </c>
      <c r="C144" s="101"/>
      <c r="D144" s="78">
        <v>2</v>
      </c>
      <c r="E144" s="79">
        <f>6/3.28</f>
        <v>1.8292682926829269</v>
      </c>
      <c r="F144" s="29"/>
      <c r="G144" s="34">
        <v>3.2</v>
      </c>
      <c r="H144" s="29">
        <f t="shared" si="6"/>
        <v>11.707317073170733</v>
      </c>
    </row>
    <row r="145" spans="1:8" ht="59.4">
      <c r="A145" s="75"/>
      <c r="B145" s="81"/>
      <c r="C145" s="101"/>
      <c r="D145" s="78">
        <v>2</v>
      </c>
      <c r="E145" s="79">
        <f>3.5/3.28</f>
        <v>1.0670731707317074</v>
      </c>
      <c r="F145" s="29"/>
      <c r="G145" s="34">
        <v>3.2</v>
      </c>
      <c r="H145" s="29">
        <f t="shared" si="6"/>
        <v>6.8292682926829276</v>
      </c>
    </row>
    <row r="146" spans="1:8" ht="59.4">
      <c r="A146" s="75"/>
      <c r="B146" s="81" t="s">
        <v>94</v>
      </c>
      <c r="C146" s="101"/>
      <c r="D146" s="78">
        <v>2</v>
      </c>
      <c r="E146" s="79">
        <f>3.5/3.28</f>
        <v>1.0670731707317074</v>
      </c>
      <c r="F146" s="29"/>
      <c r="G146" s="34">
        <v>3.2</v>
      </c>
      <c r="H146" s="29">
        <f t="shared" si="6"/>
        <v>6.8292682926829276</v>
      </c>
    </row>
    <row r="147" spans="1:8" ht="59.4">
      <c r="A147" s="75"/>
      <c r="B147" s="81"/>
      <c r="C147" s="101"/>
      <c r="D147" s="78">
        <v>2</v>
      </c>
      <c r="E147" s="79">
        <f>5.5/3.28</f>
        <v>1.6768292682926831</v>
      </c>
      <c r="F147" s="29"/>
      <c r="G147" s="34">
        <v>3.2</v>
      </c>
      <c r="H147" s="29">
        <f t="shared" si="6"/>
        <v>10.731707317073173</v>
      </c>
    </row>
    <row r="148" spans="1:8" ht="59.4">
      <c r="A148" s="75"/>
      <c r="B148" s="81"/>
      <c r="C148" s="101"/>
      <c r="D148" s="78">
        <v>1</v>
      </c>
      <c r="E148" s="79">
        <f>25.5/3.28</f>
        <v>7.774390243902439</v>
      </c>
      <c r="F148" s="29"/>
      <c r="G148" s="34">
        <v>3.2</v>
      </c>
      <c r="H148" s="29">
        <f t="shared" si="6"/>
        <v>24.878048780487806</v>
      </c>
    </row>
    <row r="149" spans="1:8" ht="59.4">
      <c r="A149" s="75"/>
      <c r="B149" s="81"/>
      <c r="C149" s="101"/>
      <c r="D149" s="78">
        <v>1</v>
      </c>
      <c r="E149" s="79">
        <f>4/3.28</f>
        <v>1.2195121951219512</v>
      </c>
      <c r="F149" s="29"/>
      <c r="G149" s="34">
        <v>3.2</v>
      </c>
      <c r="H149" s="29">
        <f t="shared" si="6"/>
        <v>3.9024390243902438</v>
      </c>
    </row>
    <row r="150" spans="1:8" ht="59.4">
      <c r="A150" s="75"/>
      <c r="B150" s="76" t="s">
        <v>102</v>
      </c>
      <c r="C150" s="101"/>
      <c r="D150" s="78"/>
      <c r="E150" s="79"/>
      <c r="F150" s="29"/>
      <c r="G150" s="34"/>
      <c r="H150" s="79"/>
    </row>
    <row r="151" spans="1:8" ht="59.4">
      <c r="A151" s="75"/>
      <c r="B151" s="81" t="s">
        <v>38</v>
      </c>
      <c r="C151" s="101"/>
      <c r="D151" s="78">
        <v>5</v>
      </c>
      <c r="E151" s="79">
        <v>1.88</v>
      </c>
      <c r="F151" s="29"/>
      <c r="G151" s="34">
        <v>1.37</v>
      </c>
      <c r="H151" s="79">
        <f>-(G151*E151*D151)</f>
        <v>-12.878</v>
      </c>
    </row>
    <row r="152" spans="1:8" ht="59.4">
      <c r="A152" s="75"/>
      <c r="B152" s="81" t="s">
        <v>36</v>
      </c>
      <c r="C152" s="101"/>
      <c r="D152" s="78">
        <v>3</v>
      </c>
      <c r="E152" s="79">
        <v>1.37</v>
      </c>
      <c r="F152" s="29"/>
      <c r="G152" s="34">
        <v>1.88</v>
      </c>
      <c r="H152" s="79">
        <f t="shared" ref="H152" si="7">-(G152*E152*D152)</f>
        <v>-7.7268000000000008</v>
      </c>
    </row>
    <row r="153" spans="1:8" ht="59.4">
      <c r="A153" s="75"/>
      <c r="B153" s="81" t="s">
        <v>91</v>
      </c>
      <c r="C153" s="101"/>
      <c r="D153" s="78">
        <v>1</v>
      </c>
      <c r="E153" s="79">
        <v>0.6</v>
      </c>
      <c r="F153" s="29"/>
      <c r="G153" s="34">
        <v>0.6</v>
      </c>
      <c r="H153" s="79">
        <f>-(G153*E153*D153)</f>
        <v>-0.36</v>
      </c>
    </row>
    <row r="154" spans="1:8" ht="59.4">
      <c r="A154" s="75"/>
      <c r="B154" s="81" t="s">
        <v>8</v>
      </c>
      <c r="C154" s="101"/>
      <c r="D154" s="78">
        <v>1</v>
      </c>
      <c r="E154" s="79">
        <f>4.5/3.28</f>
        <v>1.3719512195121952</v>
      </c>
      <c r="F154" s="29"/>
      <c r="G154" s="34">
        <v>2.1</v>
      </c>
      <c r="H154" s="79">
        <f t="shared" ref="H154:H155" si="8">-(G154*E154*D154)</f>
        <v>-2.88109756097561</v>
      </c>
    </row>
    <row r="155" spans="1:8" ht="59.4">
      <c r="A155" s="75"/>
      <c r="B155" s="81" t="s">
        <v>87</v>
      </c>
      <c r="C155" s="101"/>
      <c r="D155" s="78">
        <v>3</v>
      </c>
      <c r="E155" s="79">
        <v>0.75</v>
      </c>
      <c r="F155" s="29"/>
      <c r="G155" s="34">
        <v>2.1</v>
      </c>
      <c r="H155" s="79">
        <f t="shared" si="8"/>
        <v>-4.7250000000000005</v>
      </c>
    </row>
    <row r="156" spans="1:8" ht="59.4">
      <c r="A156" s="75"/>
      <c r="B156" s="50" t="s">
        <v>9</v>
      </c>
      <c r="C156" s="7" t="s">
        <v>47</v>
      </c>
      <c r="D156" s="7"/>
      <c r="E156" s="37"/>
      <c r="F156" s="37"/>
      <c r="G156" s="37"/>
      <c r="H156" s="9">
        <f>SUM(H132:H155)</f>
        <v>291.70266341463406</v>
      </c>
    </row>
    <row r="157" spans="1:8" ht="59.4">
      <c r="A157" s="75"/>
      <c r="B157" s="30"/>
      <c r="C157" s="31"/>
      <c r="D157" s="7"/>
      <c r="E157" s="32"/>
      <c r="F157" s="32"/>
      <c r="G157" s="32"/>
      <c r="H157" s="16"/>
    </row>
    <row r="158" spans="1:8" ht="366" customHeight="1">
      <c r="A158" s="96">
        <f>A131+1</f>
        <v>13</v>
      </c>
      <c r="B158" s="145" t="s">
        <v>69</v>
      </c>
      <c r="C158" s="145"/>
      <c r="D158" s="145"/>
      <c r="E158" s="145"/>
      <c r="F158" s="145"/>
      <c r="G158" s="145"/>
      <c r="H158" s="145"/>
    </row>
    <row r="159" spans="1:8" ht="56.4" customHeight="1">
      <c r="A159" s="96"/>
      <c r="B159" s="151" t="s">
        <v>54</v>
      </c>
      <c r="C159" s="151"/>
      <c r="D159" s="102"/>
      <c r="E159" s="103"/>
      <c r="F159" s="103"/>
      <c r="G159" s="103"/>
      <c r="H159" s="79"/>
    </row>
    <row r="160" spans="1:8" ht="59.4">
      <c r="A160" s="75"/>
      <c r="B160" s="94" t="s">
        <v>55</v>
      </c>
      <c r="C160" s="77"/>
      <c r="D160" s="78">
        <v>2</v>
      </c>
      <c r="E160" s="79">
        <v>13.786</v>
      </c>
      <c r="F160" s="79"/>
      <c r="G160" s="80">
        <v>3.35</v>
      </c>
      <c r="H160" s="79">
        <f>G160*E160*D160</f>
        <v>92.366200000000006</v>
      </c>
    </row>
    <row r="161" spans="1:8" ht="59.4">
      <c r="A161" s="75"/>
      <c r="B161" s="104" t="s">
        <v>56</v>
      </c>
      <c r="C161" s="77"/>
      <c r="D161" s="78">
        <v>1</v>
      </c>
      <c r="E161" s="79">
        <v>14.17</v>
      </c>
      <c r="F161" s="79"/>
      <c r="G161" s="80">
        <v>3.35</v>
      </c>
      <c r="H161" s="79">
        <f>G161*E161*D161</f>
        <v>47.469500000000004</v>
      </c>
    </row>
    <row r="162" spans="1:8" ht="59.4">
      <c r="A162" s="75"/>
      <c r="B162" s="104"/>
      <c r="C162" s="77"/>
      <c r="D162" s="78">
        <v>1</v>
      </c>
      <c r="E162" s="79">
        <v>12.8</v>
      </c>
      <c r="F162" s="79"/>
      <c r="G162" s="80">
        <v>3.35</v>
      </c>
      <c r="H162" s="79">
        <f>G162*E162*D162</f>
        <v>42.88</v>
      </c>
    </row>
    <row r="163" spans="1:8" ht="59.4">
      <c r="A163" s="75"/>
      <c r="B163" s="58" t="s">
        <v>81</v>
      </c>
      <c r="C163" s="24"/>
      <c r="D163" s="28">
        <v>2</v>
      </c>
      <c r="E163" s="29">
        <v>1.79</v>
      </c>
      <c r="F163" s="29"/>
      <c r="G163" s="34">
        <v>3.35</v>
      </c>
      <c r="H163" s="79">
        <f t="shared" ref="H163" si="9">G163*E163*D163</f>
        <v>11.993</v>
      </c>
    </row>
    <row r="164" spans="1:8" ht="59.4">
      <c r="A164" s="75"/>
      <c r="B164" s="81"/>
      <c r="C164" s="101"/>
      <c r="D164" s="78">
        <v>2</v>
      </c>
      <c r="E164" s="79">
        <v>1.52</v>
      </c>
      <c r="F164" s="29"/>
      <c r="G164" s="34">
        <v>3.35</v>
      </c>
      <c r="H164" s="79">
        <f>G164*E164*D164</f>
        <v>10.184000000000001</v>
      </c>
    </row>
    <row r="165" spans="1:8" ht="59.4">
      <c r="A165" s="75"/>
      <c r="B165" s="76" t="s">
        <v>102</v>
      </c>
      <c r="C165" s="101"/>
      <c r="D165" s="78"/>
      <c r="E165" s="79"/>
      <c r="F165" s="29"/>
      <c r="G165" s="34"/>
      <c r="H165" s="79"/>
    </row>
    <row r="166" spans="1:8" ht="59.4">
      <c r="A166" s="75"/>
      <c r="B166" s="81" t="s">
        <v>38</v>
      </c>
      <c r="C166" s="101"/>
      <c r="D166" s="78">
        <v>5</v>
      </c>
      <c r="E166" s="79">
        <v>1.88</v>
      </c>
      <c r="F166" s="29"/>
      <c r="G166" s="34">
        <v>1.37</v>
      </c>
      <c r="H166" s="79">
        <f>-(G166*E166*D166)</f>
        <v>-12.878</v>
      </c>
    </row>
    <row r="167" spans="1:8" ht="59.4">
      <c r="A167" s="75"/>
      <c r="B167" s="81" t="s">
        <v>36</v>
      </c>
      <c r="C167" s="101"/>
      <c r="D167" s="78">
        <v>3</v>
      </c>
      <c r="E167" s="79">
        <v>1.37</v>
      </c>
      <c r="F167" s="29"/>
      <c r="G167" s="34">
        <v>1.88</v>
      </c>
      <c r="H167" s="79">
        <f t="shared" ref="H167" si="10">-(G167*E167*D167)</f>
        <v>-7.7268000000000008</v>
      </c>
    </row>
    <row r="168" spans="1:8" ht="59.4">
      <c r="A168" s="75"/>
      <c r="B168" s="81" t="s">
        <v>91</v>
      </c>
      <c r="C168" s="101"/>
      <c r="D168" s="78">
        <v>1</v>
      </c>
      <c r="E168" s="79">
        <v>0.6</v>
      </c>
      <c r="F168" s="29"/>
      <c r="G168" s="34">
        <v>0.6</v>
      </c>
      <c r="H168" s="79">
        <f>-(G168*E168*D168)</f>
        <v>-0.36</v>
      </c>
    </row>
    <row r="169" spans="1:8" ht="59.4">
      <c r="A169" s="75"/>
      <c r="B169" s="92" t="s">
        <v>9</v>
      </c>
      <c r="C169" s="75" t="s">
        <v>14</v>
      </c>
      <c r="D169" s="75"/>
      <c r="E169" s="93"/>
      <c r="F169" s="93"/>
      <c r="G169" s="93"/>
      <c r="H169" s="93">
        <f>SUM(H159:H168)</f>
        <v>183.92789999999999</v>
      </c>
    </row>
    <row r="170" spans="1:8" ht="59.4">
      <c r="A170" s="75"/>
      <c r="B170" s="105"/>
      <c r="C170" s="106"/>
      <c r="D170" s="75"/>
      <c r="E170" s="107"/>
      <c r="F170" s="93"/>
      <c r="G170" s="93"/>
      <c r="H170" s="93"/>
    </row>
    <row r="171" spans="1:8" ht="253.2" customHeight="1">
      <c r="A171" s="96">
        <f>A158+1</f>
        <v>14</v>
      </c>
      <c r="B171" s="146" t="s">
        <v>70</v>
      </c>
      <c r="C171" s="146"/>
      <c r="D171" s="146"/>
      <c r="E171" s="146"/>
      <c r="F171" s="146"/>
      <c r="G171" s="146"/>
      <c r="H171" s="146"/>
    </row>
    <row r="172" spans="1:8" ht="59.4">
      <c r="A172" s="75"/>
      <c r="B172" s="89" t="s">
        <v>57</v>
      </c>
      <c r="C172" s="77"/>
      <c r="D172" s="78"/>
      <c r="E172" s="79"/>
      <c r="F172" s="79"/>
      <c r="G172" s="99"/>
      <c r="H172" s="79">
        <f>PRODUCT(D172:G172)</f>
        <v>0</v>
      </c>
    </row>
    <row r="173" spans="1:8" ht="59.4">
      <c r="A173" s="75"/>
      <c r="B173" s="94" t="s">
        <v>51</v>
      </c>
      <c r="C173" s="77"/>
      <c r="D173" s="78">
        <v>1</v>
      </c>
      <c r="E173" s="79">
        <f>39.75/3.28</f>
        <v>12.11890243902439</v>
      </c>
      <c r="F173" s="79">
        <f>24.75/3.28</f>
        <v>7.5457317073170733</v>
      </c>
      <c r="G173" s="99"/>
      <c r="H173" s="79">
        <f>PRODUCT(D173:G173)</f>
        <v>91.445986392028558</v>
      </c>
    </row>
    <row r="174" spans="1:8" ht="59.4">
      <c r="A174" s="75"/>
      <c r="D174" s="78">
        <v>1</v>
      </c>
      <c r="E174" s="79">
        <f>28/3.28</f>
        <v>8.536585365853659</v>
      </c>
      <c r="F174" s="79">
        <f>19.5/3.28</f>
        <v>5.9451219512195124</v>
      </c>
      <c r="G174" s="99"/>
      <c r="H174" s="79">
        <f>PRODUCT(D174:G174)</f>
        <v>50.751041046995837</v>
      </c>
    </row>
    <row r="175" spans="1:8" ht="59.4">
      <c r="A175" s="75"/>
      <c r="B175" s="94" t="s">
        <v>88</v>
      </c>
      <c r="C175" s="77"/>
      <c r="D175" s="78">
        <v>1</v>
      </c>
      <c r="E175" s="79">
        <f>12/3.28</f>
        <v>3.6585365853658538</v>
      </c>
      <c r="F175" s="79">
        <f>4/3.28</f>
        <v>1.2195121951219512</v>
      </c>
      <c r="G175" s="99"/>
      <c r="H175" s="79">
        <f t="shared" ref="H175:H177" si="11">PRODUCT(D175:G175)</f>
        <v>4.4616299821534797</v>
      </c>
    </row>
    <row r="176" spans="1:8" ht="59.4">
      <c r="A176" s="75"/>
      <c r="B176" s="94" t="s">
        <v>93</v>
      </c>
      <c r="C176" s="77"/>
      <c r="D176" s="78">
        <v>1</v>
      </c>
      <c r="E176" s="79">
        <f>6/3.28</f>
        <v>1.8292682926829269</v>
      </c>
      <c r="F176" s="79">
        <f>3.5/3.28</f>
        <v>1.0670731707317074</v>
      </c>
      <c r="G176" s="99"/>
      <c r="H176" s="79">
        <f t="shared" si="11"/>
        <v>1.9519631171921477</v>
      </c>
    </row>
    <row r="177" spans="1:8" ht="59.4">
      <c r="A177" s="75"/>
      <c r="B177" s="94" t="s">
        <v>94</v>
      </c>
      <c r="C177" s="77"/>
      <c r="D177" s="78">
        <v>1</v>
      </c>
      <c r="E177" s="79">
        <f>5.5/3.28</f>
        <v>1.6768292682926831</v>
      </c>
      <c r="F177" s="79">
        <f>3.5/3.28</f>
        <v>1.0670731707317074</v>
      </c>
      <c r="G177" s="99"/>
      <c r="H177" s="79">
        <f t="shared" si="11"/>
        <v>1.7892995240928022</v>
      </c>
    </row>
    <row r="178" spans="1:8" ht="59.4">
      <c r="A178" s="75"/>
      <c r="B178" s="108" t="s">
        <v>9</v>
      </c>
      <c r="C178" s="75" t="s">
        <v>14</v>
      </c>
      <c r="D178" s="75"/>
      <c r="E178" s="93"/>
      <c r="F178" s="93"/>
      <c r="G178" s="93"/>
      <c r="H178" s="93">
        <f>SUM(H173:H177)</f>
        <v>150.39992006246283</v>
      </c>
    </row>
    <row r="179" spans="1:8" ht="59.4">
      <c r="A179" s="75"/>
      <c r="B179" s="108"/>
      <c r="C179" s="75"/>
      <c r="D179" s="75"/>
      <c r="E179" s="93"/>
      <c r="F179" s="93"/>
      <c r="G179" s="93"/>
      <c r="H179" s="93"/>
    </row>
    <row r="180" spans="1:8" ht="409.6" customHeight="1">
      <c r="A180" s="75">
        <f>A171+1</f>
        <v>15</v>
      </c>
      <c r="B180" s="141" t="s">
        <v>128</v>
      </c>
      <c r="C180" s="142"/>
      <c r="D180" s="142"/>
      <c r="E180" s="142"/>
      <c r="F180" s="142"/>
      <c r="G180" s="142"/>
      <c r="H180" s="142"/>
    </row>
    <row r="181" spans="1:8" ht="59.4">
      <c r="A181" s="109"/>
      <c r="B181" s="140" t="s">
        <v>127</v>
      </c>
      <c r="C181" s="140"/>
      <c r="D181" s="140"/>
      <c r="E181" s="140"/>
      <c r="F181" s="110"/>
      <c r="G181" s="110"/>
      <c r="H181" s="110"/>
    </row>
    <row r="182" spans="1:8" ht="59.4">
      <c r="A182" s="54"/>
      <c r="B182" s="69" t="s">
        <v>51</v>
      </c>
      <c r="C182" s="64"/>
      <c r="D182" s="65">
        <v>1</v>
      </c>
      <c r="E182" s="66">
        <f>39.75/3.28</f>
        <v>12.11890243902439</v>
      </c>
      <c r="F182" s="111">
        <f>24.75/3.28</f>
        <v>7.5457317073170733</v>
      </c>
      <c r="G182" s="111"/>
      <c r="H182" s="29">
        <f>PRODUCT(C182:G182)</f>
        <v>91.445986392028558</v>
      </c>
    </row>
    <row r="183" spans="1:8" ht="48.75" customHeight="1">
      <c r="A183" s="54"/>
      <c r="B183" s="69"/>
      <c r="C183" s="64"/>
      <c r="D183" s="65">
        <v>1</v>
      </c>
      <c r="E183" s="66">
        <f>28/3.28</f>
        <v>8.536585365853659</v>
      </c>
      <c r="F183" s="111">
        <f>19.5/3.28</f>
        <v>5.9451219512195124</v>
      </c>
      <c r="G183" s="111"/>
      <c r="H183" s="29">
        <f>PRODUCT(C183:G183)</f>
        <v>50.751041046995837</v>
      </c>
    </row>
    <row r="184" spans="1:8" ht="75" customHeight="1">
      <c r="A184" s="54"/>
      <c r="B184" s="50" t="s">
        <v>9</v>
      </c>
      <c r="C184" s="7" t="s">
        <v>47</v>
      </c>
      <c r="D184" s="36"/>
      <c r="E184" s="37"/>
      <c r="F184" s="37"/>
      <c r="G184" s="37"/>
      <c r="H184" s="37">
        <f>SUM(H181:H183)</f>
        <v>142.1970274390244</v>
      </c>
    </row>
    <row r="185" spans="1:8" ht="48.75" customHeight="1">
      <c r="A185" s="54"/>
      <c r="B185" s="69"/>
      <c r="C185" s="64"/>
      <c r="D185" s="65"/>
      <c r="E185" s="66"/>
      <c r="F185" s="111"/>
      <c r="G185" s="111"/>
      <c r="H185" s="29"/>
    </row>
    <row r="186" spans="1:8" ht="358.8" customHeight="1">
      <c r="A186" s="54">
        <f>A180+1</f>
        <v>16</v>
      </c>
      <c r="B186" s="168" t="s">
        <v>143</v>
      </c>
      <c r="C186" s="169"/>
      <c r="D186" s="169"/>
      <c r="E186" s="169"/>
      <c r="F186" s="169"/>
      <c r="G186" s="169"/>
      <c r="H186" s="169"/>
    </row>
    <row r="187" spans="1:8" ht="75.75" customHeight="1">
      <c r="A187" s="54"/>
      <c r="B187" s="69" t="s">
        <v>126</v>
      </c>
      <c r="C187" s="64"/>
      <c r="D187" s="65"/>
      <c r="E187" s="66"/>
      <c r="F187" s="111"/>
      <c r="G187" s="111"/>
      <c r="H187" s="29"/>
    </row>
    <row r="188" spans="1:8" ht="48.75" customHeight="1">
      <c r="A188" s="54"/>
      <c r="B188" s="69"/>
      <c r="C188" s="64"/>
      <c r="D188" s="65">
        <v>1</v>
      </c>
      <c r="E188" s="66">
        <f>39.75+39.75+29.5+29.5</f>
        <v>138.5</v>
      </c>
      <c r="F188" s="111"/>
      <c r="G188" s="111">
        <v>0.1</v>
      </c>
      <c r="H188" s="29">
        <f>PRODUCT(D188:G188)</f>
        <v>13.850000000000001</v>
      </c>
    </row>
    <row r="189" spans="1:8" ht="59.4">
      <c r="A189" s="54"/>
      <c r="B189" s="69"/>
      <c r="C189" s="64"/>
      <c r="D189" s="65">
        <v>1</v>
      </c>
      <c r="E189" s="66">
        <f>28+28+19.5+19.5</f>
        <v>95</v>
      </c>
      <c r="F189" s="111"/>
      <c r="G189" s="111">
        <v>0.1</v>
      </c>
      <c r="H189" s="29">
        <f t="shared" ref="H189:H190" si="12">PRODUCT(D189:G189)</f>
        <v>9.5</v>
      </c>
    </row>
    <row r="190" spans="1:8" ht="59.4">
      <c r="A190" s="54"/>
      <c r="B190" s="63" t="s">
        <v>52</v>
      </c>
      <c r="C190" s="64"/>
      <c r="D190" s="65"/>
      <c r="E190" s="66"/>
      <c r="F190" s="111"/>
      <c r="G190" s="111"/>
      <c r="H190" s="29">
        <f t="shared" si="12"/>
        <v>0</v>
      </c>
    </row>
    <row r="191" spans="1:8" ht="59.4">
      <c r="A191" s="54"/>
      <c r="B191" s="69" t="s">
        <v>40</v>
      </c>
      <c r="C191" s="112"/>
      <c r="D191" s="65">
        <v>1</v>
      </c>
      <c r="E191" s="66">
        <f>4.5/3.28</f>
        <v>1.3719512195121952</v>
      </c>
      <c r="F191" s="111"/>
      <c r="G191" s="111">
        <v>0.1</v>
      </c>
      <c r="H191" s="29">
        <f>-(G191*E191)</f>
        <v>-0.13719512195121952</v>
      </c>
    </row>
    <row r="192" spans="1:8" ht="59.4">
      <c r="A192" s="54"/>
      <c r="B192" s="69"/>
      <c r="C192" s="64"/>
      <c r="D192" s="65"/>
      <c r="E192" s="66"/>
      <c r="F192" s="111"/>
      <c r="G192" s="111"/>
      <c r="H192" s="29"/>
    </row>
    <row r="193" spans="1:8" ht="59.4">
      <c r="A193" s="54"/>
      <c r="B193" s="50" t="s">
        <v>9</v>
      </c>
      <c r="C193" s="7" t="s">
        <v>47</v>
      </c>
      <c r="D193" s="36"/>
      <c r="E193" s="37"/>
      <c r="F193" s="37"/>
      <c r="G193" s="37"/>
      <c r="H193" s="37">
        <f>SUM(H188:H192)</f>
        <v>23.212804878048782</v>
      </c>
    </row>
    <row r="194" spans="1:8" ht="59.4">
      <c r="A194" s="75"/>
      <c r="B194" s="105"/>
      <c r="C194" s="81"/>
      <c r="D194" s="77"/>
      <c r="E194" s="78"/>
      <c r="F194" s="79"/>
      <c r="G194" s="79"/>
      <c r="H194" s="99"/>
    </row>
    <row r="195" spans="1:8">
      <c r="A195" s="155">
        <f>A186+1</f>
        <v>17</v>
      </c>
      <c r="B195" s="148" t="s">
        <v>138</v>
      </c>
      <c r="C195" s="148"/>
      <c r="D195" s="148"/>
      <c r="E195" s="148"/>
      <c r="F195" s="148"/>
      <c r="G195" s="148"/>
      <c r="H195" s="148"/>
    </row>
    <row r="196" spans="1:8" ht="409.6" customHeight="1">
      <c r="A196" s="155"/>
      <c r="B196" s="148"/>
      <c r="C196" s="148"/>
      <c r="D196" s="148"/>
      <c r="E196" s="148"/>
      <c r="F196" s="148"/>
      <c r="G196" s="148"/>
      <c r="H196" s="148"/>
    </row>
    <row r="197" spans="1:8" ht="59.4">
      <c r="A197" s="109"/>
      <c r="B197" s="140" t="s">
        <v>96</v>
      </c>
      <c r="C197" s="140"/>
      <c r="D197" s="140"/>
      <c r="E197" s="140"/>
      <c r="F197" s="110"/>
      <c r="G197" s="110"/>
      <c r="H197" s="110"/>
    </row>
    <row r="198" spans="1:8" ht="59.4">
      <c r="A198" s="54"/>
      <c r="B198" s="69" t="s">
        <v>95</v>
      </c>
      <c r="C198" s="64"/>
      <c r="D198" s="65">
        <v>1</v>
      </c>
      <c r="E198" s="66">
        <f>6/3.28</f>
        <v>1.8292682926829269</v>
      </c>
      <c r="F198" s="111">
        <f>3.5/3.28</f>
        <v>1.0670731707317074</v>
      </c>
      <c r="G198" s="111"/>
      <c r="H198" s="29">
        <f>PRODUCT(C198:G198)</f>
        <v>1.9519631171921477</v>
      </c>
    </row>
    <row r="199" spans="1:8" ht="59.4">
      <c r="A199" s="54"/>
      <c r="B199" s="69" t="s">
        <v>94</v>
      </c>
      <c r="C199" s="64"/>
      <c r="D199" s="65">
        <v>1</v>
      </c>
      <c r="E199" s="66">
        <f>5.5/3.28</f>
        <v>1.6768292682926831</v>
      </c>
      <c r="F199" s="111">
        <f>3.5/3.28</f>
        <v>1.0670731707317074</v>
      </c>
      <c r="G199" s="111"/>
      <c r="H199" s="29">
        <f t="shared" ref="H199" si="13">PRODUCT(C199:G199)</f>
        <v>1.7892995240928022</v>
      </c>
    </row>
    <row r="200" spans="1:8" ht="59.4">
      <c r="A200" s="54"/>
      <c r="B200" s="69" t="s">
        <v>88</v>
      </c>
      <c r="C200" s="64"/>
      <c r="D200" s="65">
        <v>1</v>
      </c>
      <c r="E200" s="66">
        <f>4/3.28</f>
        <v>1.2195121951219512</v>
      </c>
      <c r="F200" s="111">
        <f>12/3.28</f>
        <v>3.6585365853658538</v>
      </c>
      <c r="G200" s="111"/>
      <c r="H200" s="29">
        <f>PRODUCT(C200:G200)</f>
        <v>4.4616299821534797</v>
      </c>
    </row>
    <row r="201" spans="1:8" ht="59.4">
      <c r="A201" s="54"/>
      <c r="B201" s="50" t="s">
        <v>9</v>
      </c>
      <c r="C201" s="7" t="s">
        <v>47</v>
      </c>
      <c r="D201" s="36"/>
      <c r="E201" s="37"/>
      <c r="F201" s="37"/>
      <c r="G201" s="37"/>
      <c r="H201" s="37">
        <f>SUM(H198:H200)</f>
        <v>8.2028926234384301</v>
      </c>
    </row>
    <row r="202" spans="1:8" ht="59.4">
      <c r="A202" s="54"/>
      <c r="B202" s="60"/>
      <c r="C202" s="31"/>
      <c r="D202" s="7"/>
      <c r="E202" s="32"/>
      <c r="F202" s="32"/>
      <c r="G202" s="32"/>
      <c r="H202" s="16"/>
    </row>
    <row r="203" spans="1:8" ht="409.2" customHeight="1">
      <c r="A203" s="109">
        <f>A195+1</f>
        <v>18</v>
      </c>
      <c r="B203" s="144" t="s">
        <v>142</v>
      </c>
      <c r="C203" s="144"/>
      <c r="D203" s="144"/>
      <c r="E203" s="144"/>
      <c r="F203" s="144"/>
      <c r="G203" s="144"/>
      <c r="H203" s="144"/>
    </row>
    <row r="204" spans="1:8" ht="59.4">
      <c r="A204" s="54"/>
      <c r="B204" s="39" t="s">
        <v>97</v>
      </c>
      <c r="C204" s="24"/>
      <c r="D204" s="28"/>
      <c r="E204" s="29"/>
      <c r="F204" s="29"/>
      <c r="G204" s="34"/>
      <c r="H204" s="29">
        <v>0</v>
      </c>
    </row>
    <row r="205" spans="1:8" ht="59.4">
      <c r="A205" s="54"/>
      <c r="B205" s="69" t="s">
        <v>95</v>
      </c>
      <c r="C205" s="64"/>
      <c r="D205" s="65">
        <v>2</v>
      </c>
      <c r="E205" s="66">
        <f>6/3.28</f>
        <v>1.8292682926829269</v>
      </c>
      <c r="G205" s="111">
        <v>2.1</v>
      </c>
      <c r="H205" s="29">
        <f t="shared" ref="H205:H208" si="14">PRODUCT(C205:G205)</f>
        <v>7.6829268292682933</v>
      </c>
    </row>
    <row r="206" spans="1:8" ht="59.4">
      <c r="A206" s="54"/>
      <c r="B206" s="69"/>
      <c r="C206" s="64"/>
      <c r="D206" s="65">
        <v>2</v>
      </c>
      <c r="E206" s="66">
        <f>3.5/3.28</f>
        <v>1.0670731707317074</v>
      </c>
      <c r="G206" s="111">
        <v>2.1</v>
      </c>
      <c r="H206" s="29">
        <f t="shared" si="14"/>
        <v>4.4817073170731714</v>
      </c>
    </row>
    <row r="207" spans="1:8" ht="59.4">
      <c r="A207" s="54"/>
      <c r="B207" s="69" t="s">
        <v>94</v>
      </c>
      <c r="C207" s="64"/>
      <c r="D207" s="65">
        <v>2</v>
      </c>
      <c r="E207" s="66">
        <f>6/3.28</f>
        <v>1.8292682926829269</v>
      </c>
      <c r="G207" s="111">
        <f>4/3.28</f>
        <v>1.2195121951219512</v>
      </c>
      <c r="H207" s="29">
        <f t="shared" si="14"/>
        <v>4.4616299821534797</v>
      </c>
    </row>
    <row r="208" spans="1:8" ht="59.4">
      <c r="A208" s="54"/>
      <c r="B208" s="39" t="s">
        <v>86</v>
      </c>
      <c r="C208" s="24"/>
      <c r="D208" s="28"/>
      <c r="E208" s="29"/>
      <c r="F208" s="29"/>
      <c r="G208" s="34"/>
      <c r="H208" s="29">
        <f t="shared" si="14"/>
        <v>0</v>
      </c>
    </row>
    <row r="209" spans="1:8" ht="59.4">
      <c r="A209" s="54"/>
      <c r="B209" s="58" t="s">
        <v>87</v>
      </c>
      <c r="C209" s="24"/>
      <c r="D209" s="28">
        <v>-2</v>
      </c>
      <c r="E209" s="29">
        <v>0.76</v>
      </c>
      <c r="F209" s="29"/>
      <c r="G209" s="34">
        <v>2.1</v>
      </c>
      <c r="H209" s="29">
        <f>PRODUCT(C209:G209)</f>
        <v>-3.1920000000000002</v>
      </c>
    </row>
    <row r="210" spans="1:8" ht="59.4">
      <c r="A210" s="54"/>
      <c r="B210" s="58" t="s">
        <v>91</v>
      </c>
      <c r="C210" s="24"/>
      <c r="D210" s="28">
        <v>-1</v>
      </c>
      <c r="E210" s="29">
        <v>0.6</v>
      </c>
      <c r="F210" s="29"/>
      <c r="G210" s="34">
        <v>0.45</v>
      </c>
      <c r="H210" s="29">
        <f>PRODUCT(C210:G210)</f>
        <v>-0.27</v>
      </c>
    </row>
    <row r="211" spans="1:8" ht="59.4">
      <c r="A211" s="54"/>
      <c r="B211" s="50" t="s">
        <v>9</v>
      </c>
      <c r="C211" s="7" t="s">
        <v>47</v>
      </c>
      <c r="D211" s="28"/>
      <c r="E211" s="29"/>
      <c r="F211" s="29"/>
      <c r="G211" s="26"/>
      <c r="H211" s="9">
        <f>SUM(H205:H210)</f>
        <v>13.164264128494946</v>
      </c>
    </row>
    <row r="212" spans="1:8" ht="59.4">
      <c r="A212" s="75"/>
      <c r="B212" s="105"/>
      <c r="C212" s="81"/>
      <c r="D212" s="77"/>
      <c r="E212" s="78"/>
      <c r="F212" s="79"/>
      <c r="G212" s="79"/>
      <c r="H212" s="99"/>
    </row>
    <row r="213" spans="1:8" ht="205.2" customHeight="1">
      <c r="A213" s="113">
        <f>A203+1</f>
        <v>19</v>
      </c>
      <c r="B213" s="173" t="s">
        <v>71</v>
      </c>
      <c r="C213" s="173"/>
      <c r="D213" s="173"/>
      <c r="E213" s="173"/>
      <c r="F213" s="173"/>
      <c r="G213" s="173"/>
      <c r="H213" s="173"/>
    </row>
    <row r="214" spans="1:8" ht="59.4">
      <c r="A214" s="75"/>
      <c r="B214" s="174" t="s">
        <v>58</v>
      </c>
      <c r="C214" s="174"/>
      <c r="D214" s="78"/>
      <c r="E214" s="79"/>
      <c r="F214" s="79"/>
      <c r="G214" s="80"/>
      <c r="H214" s="79">
        <f>H156</f>
        <v>291.70266341463406</v>
      </c>
    </row>
    <row r="215" spans="1:8" ht="59.4">
      <c r="A215" s="96"/>
      <c r="B215" s="94" t="s">
        <v>59</v>
      </c>
      <c r="C215" s="114"/>
      <c r="D215" s="75"/>
      <c r="E215" s="115"/>
      <c r="F215" s="115"/>
      <c r="G215" s="115"/>
      <c r="H215" s="79">
        <f>H178</f>
        <v>150.39992006246283</v>
      </c>
    </row>
    <row r="216" spans="1:8" ht="59.4">
      <c r="A216" s="96"/>
      <c r="B216" s="94" t="s">
        <v>54</v>
      </c>
      <c r="C216" s="114"/>
      <c r="D216" s="75"/>
      <c r="E216" s="115"/>
      <c r="F216" s="115"/>
      <c r="G216" s="115"/>
      <c r="H216" s="79">
        <f>+H169</f>
        <v>183.92789999999999</v>
      </c>
    </row>
    <row r="217" spans="1:8" ht="59.4">
      <c r="A217" s="96"/>
      <c r="B217" s="94" t="s">
        <v>60</v>
      </c>
      <c r="C217" s="114"/>
      <c r="D217" s="75"/>
      <c r="E217" s="115"/>
      <c r="F217" s="115"/>
      <c r="G217" s="115"/>
      <c r="H217" s="79">
        <f>-33.64</f>
        <v>-33.64</v>
      </c>
    </row>
    <row r="218" spans="1:8" ht="59.4">
      <c r="A218" s="82"/>
      <c r="B218" s="89" t="s">
        <v>9</v>
      </c>
      <c r="C218" s="75" t="s">
        <v>50</v>
      </c>
      <c r="D218" s="75"/>
      <c r="E218" s="93"/>
      <c r="F218" s="93"/>
      <c r="G218" s="93"/>
      <c r="H218" s="93">
        <f>SUM(H214:H217)</f>
        <v>592.39048347709695</v>
      </c>
    </row>
    <row r="219" spans="1:8" s="1" customFormat="1" ht="59.4">
      <c r="A219" s="82"/>
      <c r="B219" s="105"/>
      <c r="C219" s="76"/>
      <c r="D219" s="75"/>
      <c r="E219" s="107"/>
      <c r="F219" s="93"/>
      <c r="G219" s="93"/>
      <c r="H219" s="93"/>
    </row>
    <row r="220" spans="1:8" s="1" customFormat="1" ht="59.4" customHeight="1">
      <c r="A220" s="156">
        <f>A213+1</f>
        <v>20</v>
      </c>
      <c r="B220" s="175" t="s">
        <v>72</v>
      </c>
      <c r="C220" s="175"/>
      <c r="D220" s="175"/>
      <c r="E220" s="175"/>
      <c r="F220" s="175"/>
      <c r="G220" s="175"/>
      <c r="H220" s="175"/>
    </row>
    <row r="221" spans="1:8" s="1" customFormat="1" ht="409.6" customHeight="1">
      <c r="A221" s="156"/>
      <c r="B221" s="175"/>
      <c r="C221" s="175"/>
      <c r="D221" s="175"/>
      <c r="E221" s="175"/>
      <c r="F221" s="175"/>
      <c r="G221" s="175"/>
      <c r="H221" s="175"/>
    </row>
    <row r="222" spans="1:8" s="1" customFormat="1" ht="59.4">
      <c r="A222" s="75"/>
      <c r="B222" s="176" t="s">
        <v>58</v>
      </c>
      <c r="C222" s="176"/>
      <c r="D222" s="78"/>
      <c r="E222" s="79"/>
      <c r="F222" s="79"/>
      <c r="G222" s="80"/>
      <c r="H222" s="116">
        <f>H156</f>
        <v>291.70266341463406</v>
      </c>
    </row>
    <row r="223" spans="1:8" s="1" customFormat="1" ht="59.4">
      <c r="A223" s="96"/>
      <c r="B223" s="117" t="s">
        <v>59</v>
      </c>
      <c r="C223" s="114"/>
      <c r="D223" s="75"/>
      <c r="E223" s="115"/>
      <c r="F223" s="115"/>
      <c r="G223" s="115"/>
      <c r="H223" s="116">
        <f>H178</f>
        <v>150.39992006246283</v>
      </c>
    </row>
    <row r="224" spans="1:8" s="1" customFormat="1" ht="59.4">
      <c r="A224" s="75"/>
      <c r="B224" s="118" t="s">
        <v>9</v>
      </c>
      <c r="C224" s="75" t="s">
        <v>47</v>
      </c>
      <c r="D224" s="75"/>
      <c r="E224" s="93"/>
      <c r="F224" s="93"/>
      <c r="G224" s="93"/>
      <c r="H224" s="93">
        <f>SUM(H222:H223)</f>
        <v>442.10258347709691</v>
      </c>
    </row>
    <row r="225" spans="1:8" s="1" customFormat="1" ht="59.4">
      <c r="A225" s="75"/>
      <c r="B225" s="119"/>
      <c r="C225" s="31"/>
      <c r="D225" s="7"/>
      <c r="E225" s="32"/>
      <c r="F225" s="32"/>
      <c r="G225" s="32"/>
      <c r="H225" s="16"/>
    </row>
    <row r="226" spans="1:8" s="1" customFormat="1" ht="59.4" customHeight="1">
      <c r="A226" s="156">
        <f>+A220+1</f>
        <v>21</v>
      </c>
      <c r="B226" s="152" t="s">
        <v>73</v>
      </c>
      <c r="C226" s="152"/>
      <c r="D226" s="152"/>
      <c r="E226" s="152"/>
      <c r="F226" s="152"/>
      <c r="G226" s="152"/>
      <c r="H226" s="152"/>
    </row>
    <row r="227" spans="1:8" s="1" customFormat="1" ht="409.6" customHeight="1">
      <c r="A227" s="156"/>
      <c r="B227" s="152"/>
      <c r="C227" s="152"/>
      <c r="D227" s="152"/>
      <c r="E227" s="152"/>
      <c r="F227" s="152"/>
      <c r="G227" s="152"/>
      <c r="H227" s="152"/>
    </row>
    <row r="228" spans="1:8" s="1" customFormat="1" ht="85.2" customHeight="1">
      <c r="A228" s="96"/>
      <c r="B228" s="152"/>
      <c r="C228" s="152"/>
      <c r="D228" s="152"/>
      <c r="E228" s="152"/>
      <c r="F228" s="152"/>
      <c r="G228" s="152"/>
      <c r="H228" s="152"/>
    </row>
    <row r="229" spans="1:8" s="1" customFormat="1" ht="59.4">
      <c r="A229" s="75"/>
      <c r="B229" s="171" t="s">
        <v>61</v>
      </c>
      <c r="C229" s="171"/>
      <c r="D229" s="171"/>
      <c r="E229" s="171"/>
      <c r="F229" s="171"/>
      <c r="G229" s="79"/>
      <c r="H229" s="79">
        <f>H169</f>
        <v>183.92789999999999</v>
      </c>
    </row>
    <row r="230" spans="1:8" s="1" customFormat="1" ht="59.4">
      <c r="A230" s="75"/>
      <c r="B230" s="92" t="s">
        <v>9</v>
      </c>
      <c r="C230" s="75" t="s">
        <v>47</v>
      </c>
      <c r="D230" s="75"/>
      <c r="E230" s="93"/>
      <c r="F230" s="93"/>
      <c r="G230" s="93"/>
      <c r="H230" s="93">
        <f>SUM(H229)</f>
        <v>183.92789999999999</v>
      </c>
    </row>
    <row r="231" spans="1:8" s="1" customFormat="1" ht="59.4">
      <c r="A231" s="75"/>
      <c r="B231" s="92"/>
      <c r="C231" s="75"/>
      <c r="D231" s="75"/>
      <c r="E231" s="93"/>
      <c r="F231" s="93"/>
      <c r="G231" s="93"/>
      <c r="H231" s="93"/>
    </row>
    <row r="232" spans="1:8" s="1" customFormat="1" ht="409.6" customHeight="1">
      <c r="A232" s="75">
        <f>A226+1</f>
        <v>22</v>
      </c>
      <c r="B232" s="157" t="s">
        <v>141</v>
      </c>
      <c r="C232" s="157"/>
      <c r="D232" s="157"/>
      <c r="E232" s="157"/>
      <c r="F232" s="157"/>
      <c r="G232" s="157"/>
      <c r="H232" s="157"/>
    </row>
    <row r="233" spans="1:8" s="1" customFormat="1" ht="68.400000000000006" customHeight="1">
      <c r="A233" s="75"/>
      <c r="B233" s="98" t="s">
        <v>123</v>
      </c>
      <c r="C233" s="98">
        <v>1</v>
      </c>
      <c r="D233" s="97">
        <f>1.37+1.37+2.1+2.1+0.6</f>
        <v>7.5399999999999991</v>
      </c>
      <c r="E233" s="98"/>
      <c r="F233" s="98">
        <v>2.1</v>
      </c>
      <c r="H233" s="98">
        <f>F233*D233</f>
        <v>15.834</v>
      </c>
    </row>
    <row r="234" spans="1:8" s="1" customFormat="1" ht="68.400000000000006" customHeight="1">
      <c r="A234" s="75"/>
      <c r="B234" s="98"/>
      <c r="C234" s="98">
        <v>1</v>
      </c>
      <c r="D234" s="97">
        <v>0.08</v>
      </c>
      <c r="E234" s="98"/>
      <c r="F234" s="98">
        <v>2.1</v>
      </c>
      <c r="H234" s="98">
        <f>F234*D234</f>
        <v>0.16800000000000001</v>
      </c>
    </row>
    <row r="235" spans="1:8" s="1" customFormat="1" ht="59.4">
      <c r="A235" s="75"/>
      <c r="C235" s="120" t="s">
        <v>47</v>
      </c>
      <c r="D235" s="121"/>
      <c r="E235" s="122"/>
      <c r="F235" s="122"/>
      <c r="H235" s="123">
        <f>SUM(H233:H234)</f>
        <v>16.001999999999999</v>
      </c>
    </row>
    <row r="236" spans="1:8" s="1" customFormat="1" ht="59.4">
      <c r="A236" s="75"/>
      <c r="B236" s="30"/>
      <c r="C236" s="31"/>
      <c r="D236" s="7"/>
      <c r="E236" s="32"/>
      <c r="F236" s="32"/>
      <c r="G236" s="32"/>
      <c r="H236" s="16"/>
    </row>
    <row r="237" spans="1:8" s="1" customFormat="1" ht="15" customHeight="1">
      <c r="A237" s="172">
        <f>A232+1</f>
        <v>23</v>
      </c>
      <c r="B237" s="153" t="s">
        <v>140</v>
      </c>
      <c r="C237" s="153"/>
      <c r="D237" s="153"/>
      <c r="E237" s="153"/>
      <c r="F237" s="153"/>
      <c r="G237" s="153"/>
      <c r="H237" s="153"/>
    </row>
    <row r="238" spans="1:8" s="1" customFormat="1" ht="409.6" customHeight="1">
      <c r="A238" s="172"/>
      <c r="B238" s="153"/>
      <c r="C238" s="153"/>
      <c r="D238" s="153"/>
      <c r="E238" s="153"/>
      <c r="F238" s="153"/>
      <c r="G238" s="153"/>
      <c r="H238" s="153"/>
    </row>
    <row r="239" spans="1:8" s="1" customFormat="1" ht="358.95" customHeight="1">
      <c r="A239" s="124"/>
      <c r="B239" s="153"/>
      <c r="C239" s="153"/>
      <c r="D239" s="153"/>
      <c r="E239" s="153"/>
      <c r="F239" s="153"/>
      <c r="G239" s="153"/>
      <c r="H239" s="153"/>
    </row>
    <row r="240" spans="1:8" s="1" customFormat="1" ht="49.8">
      <c r="B240" s="122" t="s">
        <v>100</v>
      </c>
      <c r="C240" s="125">
        <v>1</v>
      </c>
      <c r="D240" s="121">
        <f>8.76+5.94</f>
        <v>14.7</v>
      </c>
      <c r="E240" s="122"/>
      <c r="F240" s="122">
        <v>7.46</v>
      </c>
      <c r="G240" s="126">
        <f>F240*D240*C240</f>
        <v>109.66199999999999</v>
      </c>
      <c r="H240" s="120"/>
    </row>
    <row r="241" spans="1:10" s="1" customFormat="1" ht="49.8">
      <c r="B241" s="122" t="s">
        <v>52</v>
      </c>
      <c r="C241" s="125"/>
      <c r="D241" s="121"/>
      <c r="E241" s="122"/>
      <c r="F241" s="122"/>
      <c r="G241" s="126">
        <v>-12.57</v>
      </c>
      <c r="H241" s="120"/>
    </row>
    <row r="242" spans="1:10" s="1" customFormat="1" ht="49.8">
      <c r="A242" s="127"/>
      <c r="B242" s="120" t="s">
        <v>47</v>
      </c>
      <c r="C242" s="125"/>
      <c r="D242" s="121"/>
      <c r="E242" s="122"/>
      <c r="F242" s="122"/>
      <c r="G242" s="123">
        <f>SUM(G240:G241)</f>
        <v>97.091999999999985</v>
      </c>
      <c r="H242" s="120">
        <v>3989</v>
      </c>
    </row>
    <row r="243" spans="1:10" s="1" customFormat="1" ht="59.4">
      <c r="A243" s="127"/>
      <c r="B243" s="60"/>
      <c r="C243" s="31"/>
      <c r="D243" s="7"/>
      <c r="E243" s="32"/>
      <c r="F243" s="32"/>
      <c r="G243" s="32"/>
      <c r="H243" s="16"/>
    </row>
    <row r="244" spans="1:10" s="1" customFormat="1" ht="60" customHeight="1">
      <c r="A244" s="156">
        <f>A237+1</f>
        <v>24</v>
      </c>
      <c r="B244" s="154" t="s">
        <v>134</v>
      </c>
      <c r="C244" s="154"/>
      <c r="D244" s="154"/>
      <c r="E244" s="154"/>
      <c r="F244" s="154"/>
      <c r="G244" s="154"/>
      <c r="H244" s="154"/>
      <c r="I244" s="2"/>
      <c r="J244" s="2"/>
    </row>
    <row r="245" spans="1:10" s="1" customFormat="1" ht="409.6" customHeight="1">
      <c r="A245" s="156"/>
      <c r="B245" s="154"/>
      <c r="C245" s="154"/>
      <c r="D245" s="154"/>
      <c r="E245" s="154"/>
      <c r="F245" s="154"/>
      <c r="G245" s="154"/>
      <c r="H245" s="154"/>
      <c r="I245" s="2"/>
      <c r="J245" s="2"/>
    </row>
    <row r="246" spans="1:10" s="1" customFormat="1" ht="409.2" customHeight="1">
      <c r="A246" s="96"/>
      <c r="B246" s="154"/>
      <c r="C246" s="154"/>
      <c r="D246" s="154"/>
      <c r="E246" s="154"/>
      <c r="F246" s="154"/>
      <c r="G246" s="154"/>
      <c r="H246" s="154"/>
      <c r="I246" s="2"/>
      <c r="J246" s="2"/>
    </row>
    <row r="247" spans="1:10" s="1" customFormat="1" ht="60.6">
      <c r="A247" s="127"/>
      <c r="B247" s="128" t="s">
        <v>100</v>
      </c>
      <c r="C247" s="129"/>
      <c r="D247" s="130">
        <v>1</v>
      </c>
      <c r="E247" s="128">
        <f>0.75*6</f>
        <v>4.5</v>
      </c>
      <c r="F247" s="128"/>
      <c r="G247" s="128">
        <v>3.65</v>
      </c>
      <c r="H247" s="131">
        <f>G247*E247*D247</f>
        <v>16.425000000000001</v>
      </c>
      <c r="I247" s="3"/>
      <c r="J247" s="3"/>
    </row>
    <row r="248" spans="1:10" s="1" customFormat="1" ht="60.6">
      <c r="A248" s="127"/>
      <c r="B248" s="132"/>
      <c r="C248" s="129" t="s">
        <v>47</v>
      </c>
      <c r="D248" s="130"/>
      <c r="E248" s="128"/>
      <c r="F248" s="128"/>
      <c r="G248" s="128"/>
      <c r="H248" s="133">
        <f>SUM(H247:H247)</f>
        <v>16.425000000000001</v>
      </c>
    </row>
    <row r="249" spans="1:10" s="1" customFormat="1" ht="59.4">
      <c r="A249" s="127"/>
      <c r="B249" s="60"/>
      <c r="C249" s="31"/>
      <c r="D249" s="7"/>
      <c r="E249" s="32"/>
      <c r="F249" s="32"/>
      <c r="G249" s="32"/>
      <c r="H249" s="16"/>
    </row>
    <row r="250" spans="1:10" s="1" customFormat="1" ht="15" customHeight="1">
      <c r="A250" s="156">
        <f>A244+1</f>
        <v>25</v>
      </c>
      <c r="B250" s="139" t="s">
        <v>112</v>
      </c>
      <c r="C250" s="139"/>
      <c r="D250" s="139"/>
      <c r="E250" s="139"/>
      <c r="F250" s="139"/>
      <c r="G250" s="139"/>
      <c r="H250" s="139"/>
    </row>
    <row r="251" spans="1:10" s="1" customFormat="1" ht="409.6" customHeight="1">
      <c r="A251" s="156"/>
      <c r="B251" s="139"/>
      <c r="C251" s="139"/>
      <c r="D251" s="139"/>
      <c r="E251" s="139"/>
      <c r="F251" s="139"/>
      <c r="G251" s="139"/>
      <c r="H251" s="139"/>
    </row>
    <row r="252" spans="1:10" s="1" customFormat="1" ht="140.4" customHeight="1">
      <c r="A252" s="138"/>
      <c r="B252" s="139"/>
      <c r="C252" s="139"/>
      <c r="D252" s="139"/>
      <c r="E252" s="139"/>
      <c r="F252" s="139"/>
      <c r="G252" s="139"/>
      <c r="H252" s="139"/>
    </row>
    <row r="253" spans="1:10" s="1" customFormat="1" ht="60.6">
      <c r="A253" s="127"/>
      <c r="B253" s="128" t="s">
        <v>107</v>
      </c>
      <c r="C253" s="129"/>
      <c r="D253" s="130">
        <v>1</v>
      </c>
      <c r="E253" s="128">
        <v>10.94</v>
      </c>
      <c r="F253" s="128"/>
      <c r="G253" s="128">
        <v>2.4300000000000002</v>
      </c>
      <c r="H253" s="131">
        <f>G253*E253*D253</f>
        <v>26.584199999999999</v>
      </c>
    </row>
    <row r="254" spans="1:10" s="1" customFormat="1" ht="60.6">
      <c r="A254" s="127"/>
      <c r="B254" s="132"/>
      <c r="C254" s="129" t="s">
        <v>47</v>
      </c>
      <c r="D254" s="130"/>
      <c r="E254" s="128"/>
      <c r="F254" s="128"/>
      <c r="G254" s="128"/>
      <c r="H254" s="133">
        <f>SUM(H253:H253)</f>
        <v>26.584199999999999</v>
      </c>
    </row>
    <row r="255" spans="1:10" ht="52.95" customHeight="1"/>
    <row r="256" spans="1:10" ht="217.2" customHeight="1">
      <c r="A256" s="96">
        <f>A250+1</f>
        <v>26</v>
      </c>
      <c r="B256" s="139" t="s">
        <v>133</v>
      </c>
      <c r="C256" s="139"/>
      <c r="D256" s="139"/>
      <c r="E256" s="139"/>
      <c r="F256" s="139"/>
      <c r="G256" s="139"/>
      <c r="H256" s="139"/>
      <c r="I256" s="1"/>
      <c r="J256" s="1"/>
    </row>
    <row r="257" spans="1:10" ht="146.4" customHeight="1">
      <c r="A257" s="96"/>
      <c r="B257" s="135" t="s">
        <v>115</v>
      </c>
      <c r="C257" s="12" t="s">
        <v>113</v>
      </c>
      <c r="E257" s="136"/>
      <c r="F257" s="137">
        <f>5%*E257</f>
        <v>0</v>
      </c>
      <c r="G257" s="137">
        <f>2%*E257</f>
        <v>0</v>
      </c>
      <c r="H257" s="136">
        <v>2</v>
      </c>
      <c r="I257" s="4"/>
      <c r="J257" s="4"/>
    </row>
    <row r="258" spans="1:10" ht="210" customHeight="1">
      <c r="A258" s="96">
        <f>A256+1</f>
        <v>27</v>
      </c>
      <c r="B258" s="139" t="s">
        <v>137</v>
      </c>
      <c r="C258" s="139"/>
      <c r="D258" s="139"/>
      <c r="E258" s="139"/>
      <c r="F258" s="139"/>
      <c r="G258" s="139"/>
      <c r="H258" s="139"/>
      <c r="I258" s="1"/>
      <c r="J258" s="1"/>
    </row>
    <row r="259" spans="1:10" ht="118.8">
      <c r="A259" s="96"/>
      <c r="B259" s="135" t="s">
        <v>114</v>
      </c>
      <c r="C259" s="12" t="s">
        <v>113</v>
      </c>
      <c r="E259" s="136"/>
      <c r="F259" s="137">
        <f>5%*E259</f>
        <v>0</v>
      </c>
      <c r="G259" s="137">
        <f>2%*E259</f>
        <v>0</v>
      </c>
      <c r="H259" s="136">
        <v>2</v>
      </c>
      <c r="I259" s="4"/>
      <c r="J259" s="4"/>
    </row>
    <row r="260" spans="1:10" ht="121.5" customHeight="1">
      <c r="A260" s="96"/>
      <c r="B260" s="135" t="s">
        <v>118</v>
      </c>
      <c r="C260" s="12" t="s">
        <v>113</v>
      </c>
      <c r="E260" s="136"/>
      <c r="F260" s="137">
        <f>5%*E260</f>
        <v>0</v>
      </c>
      <c r="G260" s="137">
        <f>2%*E260</f>
        <v>0</v>
      </c>
      <c r="H260" s="136">
        <v>2</v>
      </c>
      <c r="I260" s="4"/>
      <c r="J260" s="4"/>
    </row>
    <row r="261" spans="1:10" ht="189.6" customHeight="1">
      <c r="A261" s="96">
        <f>A258+1</f>
        <v>28</v>
      </c>
      <c r="B261" s="139" t="s">
        <v>136</v>
      </c>
      <c r="C261" s="139"/>
      <c r="D261" s="139"/>
      <c r="E261" s="139"/>
      <c r="F261" s="139"/>
      <c r="G261" s="139"/>
      <c r="H261" s="139"/>
      <c r="I261" s="1"/>
      <c r="J261" s="1"/>
    </row>
    <row r="262" spans="1:10" ht="178.2" customHeight="1">
      <c r="A262" s="96"/>
      <c r="B262" s="135" t="s">
        <v>116</v>
      </c>
      <c r="C262" s="12" t="s">
        <v>113</v>
      </c>
      <c r="E262" s="136">
        <v>2</v>
      </c>
      <c r="F262" s="137"/>
      <c r="G262" s="137"/>
      <c r="H262" s="136">
        <v>2</v>
      </c>
      <c r="I262" s="4"/>
      <c r="J262" s="4"/>
    </row>
    <row r="263" spans="1:10" ht="60.6" customHeight="1">
      <c r="A263" s="96"/>
      <c r="B263" s="135" t="s">
        <v>117</v>
      </c>
      <c r="C263" s="12" t="s">
        <v>113</v>
      </c>
      <c r="E263" s="136">
        <v>2</v>
      </c>
      <c r="F263" s="137"/>
      <c r="G263" s="137"/>
      <c r="H263" s="136">
        <v>6</v>
      </c>
      <c r="I263" s="4"/>
      <c r="J263" s="4"/>
    </row>
    <row r="264" spans="1:10" ht="61.2">
      <c r="A264" s="96"/>
      <c r="B264" s="135"/>
      <c r="C264" s="12"/>
      <c r="E264" s="136"/>
      <c r="F264" s="137"/>
      <c r="G264" s="137"/>
      <c r="H264" s="136"/>
      <c r="I264" s="4"/>
      <c r="J264" s="4"/>
    </row>
    <row r="265" spans="1:10" ht="207.6" customHeight="1">
      <c r="A265" s="96">
        <f>A261+1</f>
        <v>29</v>
      </c>
      <c r="B265" s="139" t="s">
        <v>136</v>
      </c>
      <c r="C265" s="139"/>
      <c r="D265" s="139"/>
      <c r="E265" s="139"/>
      <c r="F265" s="139"/>
      <c r="G265" s="139"/>
      <c r="H265" s="139"/>
      <c r="I265" s="1"/>
      <c r="J265" s="1"/>
    </row>
    <row r="266" spans="1:10" ht="82.95" customHeight="1">
      <c r="A266" s="96"/>
      <c r="B266" s="135" t="s">
        <v>120</v>
      </c>
      <c r="C266" s="12" t="s">
        <v>113</v>
      </c>
      <c r="E266" s="136">
        <v>6</v>
      </c>
      <c r="F266" s="137"/>
      <c r="G266" s="137"/>
      <c r="H266" s="136">
        <v>6</v>
      </c>
      <c r="I266" s="4"/>
      <c r="J266" s="4"/>
    </row>
    <row r="267" spans="1:10" ht="78" customHeight="1">
      <c r="A267" s="96"/>
      <c r="B267" s="135" t="s">
        <v>121</v>
      </c>
      <c r="C267" s="12" t="s">
        <v>113</v>
      </c>
      <c r="E267" s="136">
        <v>18</v>
      </c>
      <c r="F267" s="137"/>
      <c r="G267" s="137"/>
      <c r="H267" s="136">
        <v>18</v>
      </c>
      <c r="I267" s="4"/>
      <c r="J267" s="4"/>
    </row>
    <row r="268" spans="1:10" ht="61.2">
      <c r="A268" s="96"/>
      <c r="B268" s="135"/>
      <c r="C268" s="12"/>
      <c r="E268" s="136"/>
      <c r="F268" s="137"/>
      <c r="G268" s="137"/>
      <c r="H268" s="136"/>
      <c r="I268" s="4"/>
      <c r="J268" s="4"/>
    </row>
    <row r="269" spans="1:10" ht="214.95" customHeight="1">
      <c r="A269" s="96">
        <f>A265+1</f>
        <v>30</v>
      </c>
      <c r="B269" s="139" t="s">
        <v>139</v>
      </c>
      <c r="C269" s="139"/>
      <c r="D269" s="139"/>
      <c r="E269" s="139"/>
      <c r="F269" s="139"/>
      <c r="G269" s="139"/>
      <c r="H269" s="139"/>
      <c r="I269" s="1"/>
      <c r="J269" s="1"/>
    </row>
    <row r="270" spans="1:10" ht="118.8">
      <c r="A270" s="96"/>
      <c r="B270" s="135" t="s">
        <v>119</v>
      </c>
      <c r="C270" s="12" t="s">
        <v>113</v>
      </c>
      <c r="E270" s="136">
        <v>5</v>
      </c>
      <c r="F270" s="137"/>
      <c r="G270" s="137"/>
      <c r="H270" s="136">
        <v>5</v>
      </c>
      <c r="I270" s="4"/>
      <c r="J270" s="4"/>
    </row>
    <row r="271" spans="1:10" ht="61.2">
      <c r="A271" s="96"/>
      <c r="B271" s="135"/>
      <c r="C271" s="12"/>
      <c r="E271" s="136"/>
      <c r="F271" s="137"/>
      <c r="G271" s="137"/>
      <c r="H271" s="136"/>
      <c r="I271" s="4"/>
      <c r="J271" s="4"/>
    </row>
    <row r="272" spans="1:10" ht="200.4" customHeight="1">
      <c r="A272" s="96">
        <f>A269+1</f>
        <v>31</v>
      </c>
      <c r="B272" s="139" t="s">
        <v>135</v>
      </c>
      <c r="C272" s="139"/>
      <c r="D272" s="139"/>
      <c r="E272" s="139"/>
      <c r="F272" s="139"/>
      <c r="G272" s="139"/>
      <c r="H272" s="139"/>
      <c r="I272" s="1"/>
      <c r="J272" s="1"/>
    </row>
    <row r="273" spans="1:10" ht="61.2">
      <c r="A273" s="96"/>
      <c r="B273" s="135" t="s">
        <v>122</v>
      </c>
      <c r="C273" s="12" t="s">
        <v>113</v>
      </c>
      <c r="E273" s="136">
        <v>1</v>
      </c>
      <c r="F273" s="137"/>
      <c r="G273" s="137"/>
      <c r="H273" s="136">
        <v>1</v>
      </c>
      <c r="I273" s="4"/>
      <c r="J273" s="4"/>
    </row>
    <row r="274" spans="1:10" ht="61.2">
      <c r="A274" s="96"/>
      <c r="B274" s="135"/>
      <c r="C274" s="12"/>
      <c r="E274" s="136"/>
      <c r="F274" s="137"/>
      <c r="G274" s="137"/>
      <c r="H274" s="136"/>
      <c r="I274" s="4"/>
      <c r="J274" s="4"/>
    </row>
    <row r="275" spans="1:10" ht="61.2">
      <c r="A275" s="96"/>
      <c r="B275" s="135"/>
      <c r="C275" s="12"/>
      <c r="E275" s="136"/>
      <c r="F275" s="137"/>
      <c r="G275" s="137"/>
      <c r="H275" s="136"/>
      <c r="I275" s="4"/>
      <c r="J275" s="4"/>
    </row>
    <row r="276" spans="1:10" ht="61.2">
      <c r="A276" s="96"/>
      <c r="B276" s="135"/>
      <c r="C276" s="12"/>
      <c r="E276" s="136"/>
      <c r="F276" s="137"/>
      <c r="G276" s="137"/>
      <c r="H276" s="136"/>
      <c r="I276" s="4"/>
      <c r="J276" s="4"/>
    </row>
    <row r="277" spans="1:10" ht="61.2">
      <c r="A277" s="96"/>
      <c r="B277" s="135"/>
      <c r="C277" s="12"/>
      <c r="E277" s="136"/>
      <c r="F277" s="137"/>
      <c r="G277" s="137"/>
      <c r="H277" s="136"/>
      <c r="I277" s="4"/>
      <c r="J277" s="4"/>
    </row>
  </sheetData>
  <mergeCells count="53">
    <mergeCell ref="A1:K1"/>
    <mergeCell ref="B186:H186"/>
    <mergeCell ref="B258:H258"/>
    <mergeCell ref="B265:H265"/>
    <mergeCell ref="B269:H269"/>
    <mergeCell ref="B99:H102"/>
    <mergeCell ref="A99:A102"/>
    <mergeCell ref="A250:A251"/>
    <mergeCell ref="B229:F229"/>
    <mergeCell ref="A237:A238"/>
    <mergeCell ref="B213:H213"/>
    <mergeCell ref="B214:C214"/>
    <mergeCell ref="B220:H221"/>
    <mergeCell ref="B222:C222"/>
    <mergeCell ref="A226:A227"/>
    <mergeCell ref="A244:A245"/>
    <mergeCell ref="B272:H272"/>
    <mergeCell ref="B232:H232"/>
    <mergeCell ref="B261:H261"/>
    <mergeCell ref="B256:H256"/>
    <mergeCell ref="A10:A11"/>
    <mergeCell ref="B90:H92"/>
    <mergeCell ref="A90:A92"/>
    <mergeCell ref="B122:H124"/>
    <mergeCell ref="A122:A123"/>
    <mergeCell ref="B81:H81"/>
    <mergeCell ref="B54:C54"/>
    <mergeCell ref="B58:H58"/>
    <mergeCell ref="B59:C59"/>
    <mergeCell ref="B74:H74"/>
    <mergeCell ref="B49:C49"/>
    <mergeCell ref="B52:H52"/>
    <mergeCell ref="A195:A196"/>
    <mergeCell ref="B195:H196"/>
    <mergeCell ref="B197:E197"/>
    <mergeCell ref="B203:H203"/>
    <mergeCell ref="A220:A221"/>
    <mergeCell ref="B250:H252"/>
    <mergeCell ref="B181:E181"/>
    <mergeCell ref="B180:H180"/>
    <mergeCell ref="E2:G2"/>
    <mergeCell ref="B131:H131"/>
    <mergeCell ref="B158:H158"/>
    <mergeCell ref="B171:H171"/>
    <mergeCell ref="B109:E109"/>
    <mergeCell ref="B112:H112"/>
    <mergeCell ref="B117:H117"/>
    <mergeCell ref="B9:H11"/>
    <mergeCell ref="B4:H4"/>
    <mergeCell ref="B159:C159"/>
    <mergeCell ref="B226:H228"/>
    <mergeCell ref="B237:H239"/>
    <mergeCell ref="B244:H246"/>
  </mergeCells>
  <printOptions horizontalCentered="1" verticalCentered="1" gridLines="1"/>
  <pageMargins left="0.19685039370078741" right="0.19685039370078741" top="0.19685039370078741" bottom="0.19685039370078741" header="0.31496062992125984" footer="0.31496062992125984"/>
  <pageSetup paperSize="9" scale="20" fitToHeight="15" orientation="portrait" r:id="rId1"/>
  <rowBreaks count="7" manualBreakCount="7">
    <brk id="51" max="10" man="1"/>
    <brk id="121" max="10" man="1"/>
    <brk id="170" max="10" man="1"/>
    <brk id="218" max="10" man="1"/>
    <brk id="243" max="10" man="1"/>
    <brk id="276" max="10" man="1"/>
    <brk id="4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SF EST CIVIL</vt:lpstr>
      <vt:lpstr>'SF EST CIVIL'!Print_Area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Veda</dc:creator>
  <cp:lastModifiedBy>Veda</cp:lastModifiedBy>
  <cp:lastPrinted>2026-07-17T06:05:31Z</cp:lastPrinted>
  <dcterms:created xsi:type="dcterms:W3CDTF">2026-02-23T09:42:58Z</dcterms:created>
  <dcterms:modified xsi:type="dcterms:W3CDTF">2026-07-17T07:04:34Z</dcterms:modified>
</cp:coreProperties>
</file>